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ariaBersteneva\Downloads\"/>
    </mc:Choice>
  </mc:AlternateContent>
  <xr:revisionPtr revIDLastSave="0" documentId="13_ncr:1_{B7DE0C92-F32B-40EF-87E1-F61376D55F69}" xr6:coauthVersionLast="47" xr6:coauthVersionMax="47" xr10:uidLastSave="{00000000-0000-0000-0000-000000000000}"/>
  <bookViews>
    <workbookView xWindow="-110" yWindow="-110" windowWidth="19420" windowHeight="10420" activeTab="4" xr2:uid="{678E1872-B016-4DAD-B7C9-7A68320B24AF}"/>
  </bookViews>
  <sheets>
    <sheet name="Welcome" sheetId="6" r:id="rId1"/>
    <sheet name="Instructions" sheetId="2" r:id="rId2"/>
    <sheet name="Model" sheetId="3" r:id="rId3"/>
    <sheet name="Appendix - Calculations" sheetId="4" r:id="rId4"/>
    <sheet name="Kognitiv" sheetId="5" r:id="rId5"/>
    <sheet name="Credits" sheetId="8" state="very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4" i="4" l="1"/>
  <c r="D104" i="4" s="1"/>
  <c r="A15" i="4"/>
  <c r="E104" i="4" l="1"/>
  <c r="F104" i="4" s="1"/>
  <c r="G104" i="4" s="1"/>
  <c r="C93" i="3" l="1" a="1"/>
  <c r="C93" i="3" s="1"/>
  <c r="G118" i="4"/>
  <c r="F118" i="4"/>
  <c r="E118" i="4"/>
  <c r="D118" i="4"/>
  <c r="C90" i="4"/>
  <c r="H90" i="4" s="1"/>
  <c r="H118" i="4" s="1"/>
  <c r="G81" i="4"/>
  <c r="F81" i="4"/>
  <c r="E81" i="4"/>
  <c r="D81" i="4"/>
  <c r="G4" i="4"/>
  <c r="G99" i="4" s="1"/>
  <c r="F4" i="4"/>
  <c r="G56" i="3" s="1"/>
  <c r="E4" i="4"/>
  <c r="E108" i="4" s="1"/>
  <c r="D4" i="4"/>
  <c r="D46" i="4" s="1"/>
  <c r="C4" i="4"/>
  <c r="F137" i="3"/>
  <c r="E137" i="3"/>
  <c r="D128" i="3"/>
  <c r="D129" i="3" s="1"/>
  <c r="E118" i="3"/>
  <c r="D111" i="3"/>
  <c r="E109" i="3"/>
  <c r="E108" i="3"/>
  <c r="E107" i="3"/>
  <c r="E95" i="3"/>
  <c r="C82" i="3"/>
  <c r="G78" i="3"/>
  <c r="G77" i="3"/>
  <c r="I74" i="3"/>
  <c r="J62" i="3"/>
  <c r="D56" i="3"/>
  <c r="D55" i="3"/>
  <c r="I55" i="3" s="1"/>
  <c r="D70" i="3" s="1"/>
  <c r="D41" i="3"/>
  <c r="F36" i="3"/>
  <c r="G36" i="3" s="1"/>
  <c r="H36" i="3" s="1"/>
  <c r="E36" i="3"/>
  <c r="E29" i="3"/>
  <c r="E28" i="3"/>
  <c r="D24" i="3"/>
  <c r="D23" i="3"/>
  <c r="L1" i="3" a="1"/>
  <c r="L1" i="3" s="1"/>
  <c r="K1" i="3" a="1"/>
  <c r="K1" i="3" s="1"/>
  <c r="J1" i="3" a="1"/>
  <c r="J1" i="3" s="1"/>
  <c r="C91" i="4" l="1"/>
  <c r="C82" i="4" s="1"/>
  <c r="C58" i="4"/>
  <c r="D58" i="4" s="1"/>
  <c r="E58" i="4" s="1"/>
  <c r="C59" i="4"/>
  <c r="D59" i="4" s="1"/>
  <c r="E59" i="4" s="1"/>
  <c r="C39" i="4"/>
  <c r="E29" i="4"/>
  <c r="E56" i="3"/>
  <c r="E9" i="4"/>
  <c r="F56" i="3"/>
  <c r="E46" i="4"/>
  <c r="H56" i="3"/>
  <c r="G9" i="4"/>
  <c r="C21" i="4"/>
  <c r="D21" i="4" s="1"/>
  <c r="E21" i="4" s="1"/>
  <c r="F21" i="4" s="1"/>
  <c r="G21" i="4" s="1"/>
  <c r="G46" i="4"/>
  <c r="C53" i="4"/>
  <c r="D40" i="4"/>
  <c r="G29" i="4"/>
  <c r="G53" i="4"/>
  <c r="G108" i="4"/>
  <c r="D39" i="4"/>
  <c r="C81" i="4"/>
  <c r="H81" i="4" s="1"/>
  <c r="G39" i="4"/>
  <c r="E40" i="4"/>
  <c r="G40" i="4"/>
  <c r="F108" i="4"/>
  <c r="F29" i="4"/>
  <c r="F99" i="4"/>
  <c r="F53" i="4"/>
  <c r="F39" i="4"/>
  <c r="F9" i="4"/>
  <c r="F46" i="4"/>
  <c r="H4" i="4"/>
  <c r="G137" i="3"/>
  <c r="C68" i="4" s="1"/>
  <c r="D68" i="4" s="1"/>
  <c r="E68" i="4" s="1"/>
  <c r="F68" i="4" s="1"/>
  <c r="G68" i="4" s="1"/>
  <c r="D9" i="4"/>
  <c r="F40" i="4"/>
  <c r="C8" i="4"/>
  <c r="E39" i="4"/>
  <c r="D53" i="4"/>
  <c r="C99" i="4"/>
  <c r="C29" i="4"/>
  <c r="E53" i="4"/>
  <c r="D99" i="4"/>
  <c r="C108" i="4"/>
  <c r="C118" i="4"/>
  <c r="D112" i="3"/>
  <c r="C11" i="4"/>
  <c r="D29" i="4"/>
  <c r="E99" i="4"/>
  <c r="D108" i="4"/>
  <c r="C40" i="4"/>
  <c r="C46" i="4"/>
  <c r="H46" i="4" s="1"/>
  <c r="F59" i="4" l="1"/>
  <c r="G59" i="4" s="1"/>
  <c r="F58" i="4"/>
  <c r="G58" i="4" s="1"/>
  <c r="D91" i="4"/>
  <c r="D119" i="4" s="1"/>
  <c r="D128" i="4" s="1"/>
  <c r="I56" i="3"/>
  <c r="D71" i="3" s="1"/>
  <c r="C119" i="4"/>
  <c r="C128" i="4" s="1"/>
  <c r="H21" i="4"/>
  <c r="C18" i="4"/>
  <c r="D11" i="4"/>
  <c r="C12" i="4"/>
  <c r="C26" i="4"/>
  <c r="H137" i="3"/>
  <c r="C67" i="4" s="1"/>
  <c r="D67" i="4" s="1"/>
  <c r="E67" i="4" s="1"/>
  <c r="F67" i="4" s="1"/>
  <c r="G67" i="4" s="1"/>
  <c r="G41" i="4"/>
  <c r="F41" i="4"/>
  <c r="E41" i="4"/>
  <c r="D41" i="4"/>
  <c r="C41" i="4"/>
  <c r="D8" i="4"/>
  <c r="C45" i="4"/>
  <c r="C16" i="4"/>
  <c r="I33" i="4"/>
  <c r="I105" i="4"/>
  <c r="I34" i="4"/>
  <c r="I106" i="4"/>
  <c r="I35" i="4"/>
  <c r="I107" i="4"/>
  <c r="H99" i="4"/>
  <c r="E91" i="4" l="1"/>
  <c r="F91" i="4" s="1"/>
  <c r="D82" i="4"/>
  <c r="C51" i="4"/>
  <c r="C19" i="4"/>
  <c r="C20" i="4"/>
  <c r="C33" i="4"/>
  <c r="E82" i="4"/>
  <c r="C27" i="4"/>
  <c r="C69" i="4"/>
  <c r="D18" i="4"/>
  <c r="E11" i="4"/>
  <c r="D12" i="4"/>
  <c r="D26" i="4"/>
  <c r="E8" i="4"/>
  <c r="D45" i="4"/>
  <c r="D69" i="4" s="1"/>
  <c r="D16" i="4"/>
  <c r="C48" i="4" l="1"/>
  <c r="C49" i="4" s="1"/>
  <c r="C103" i="4"/>
  <c r="C105" i="4" s="1"/>
  <c r="D84" i="3" s="1"/>
  <c r="E119" i="4"/>
  <c r="E128" i="4" s="1"/>
  <c r="C52" i="4"/>
  <c r="E71" i="4"/>
  <c r="F71" i="4" s="1"/>
  <c r="G71" i="4" s="1"/>
  <c r="D51" i="4"/>
  <c r="D27" i="4"/>
  <c r="F119" i="4"/>
  <c r="F128" i="4" s="1"/>
  <c r="F82" i="4"/>
  <c r="G91" i="4"/>
  <c r="H91" i="4" s="1"/>
  <c r="H119" i="4" s="1"/>
  <c r="H128" i="4" s="1"/>
  <c r="E12" i="4"/>
  <c r="E26" i="4"/>
  <c r="F11" i="4"/>
  <c r="E18" i="4"/>
  <c r="D19" i="4"/>
  <c r="D20" i="4"/>
  <c r="D33" i="4"/>
  <c r="D58" i="3"/>
  <c r="C22" i="4"/>
  <c r="C23" i="4" s="1"/>
  <c r="F8" i="4"/>
  <c r="E45" i="4"/>
  <c r="E16" i="4"/>
  <c r="C74" i="4"/>
  <c r="C63" i="4" s="1"/>
  <c r="D70" i="4"/>
  <c r="E70" i="4" s="1"/>
  <c r="F70" i="4" s="1"/>
  <c r="G70" i="4" s="1"/>
  <c r="D86" i="3"/>
  <c r="D85" i="3"/>
  <c r="C34" i="4"/>
  <c r="C36" i="4"/>
  <c r="D48" i="4" l="1"/>
  <c r="D103" i="4"/>
  <c r="D105" i="4" s="1"/>
  <c r="D52" i="4"/>
  <c r="D49" i="4"/>
  <c r="E51" i="4"/>
  <c r="E103" i="4" s="1"/>
  <c r="E105" i="4" s="1"/>
  <c r="E69" i="4"/>
  <c r="E74" i="4" s="1"/>
  <c r="E63" i="4" s="1"/>
  <c r="E48" i="4"/>
  <c r="H48" i="4" s="1"/>
  <c r="D87" i="3"/>
  <c r="F87" i="3" s="1"/>
  <c r="C35" i="4"/>
  <c r="C37" i="4"/>
  <c r="C62" i="4"/>
  <c r="C64" i="4" s="1"/>
  <c r="C87" i="4"/>
  <c r="D22" i="4"/>
  <c r="D13" i="4" s="1"/>
  <c r="E58" i="3"/>
  <c r="E27" i="4"/>
  <c r="F12" i="4"/>
  <c r="F26" i="4"/>
  <c r="F18" i="4"/>
  <c r="G11" i="4"/>
  <c r="D36" i="4"/>
  <c r="D34" i="4"/>
  <c r="G8" i="4"/>
  <c r="H8" i="4" s="1"/>
  <c r="F45" i="4"/>
  <c r="F16" i="4"/>
  <c r="C13" i="4"/>
  <c r="G119" i="4"/>
  <c r="G128" i="4" s="1"/>
  <c r="G82" i="4"/>
  <c r="H82" i="4" s="1"/>
  <c r="E19" i="4"/>
  <c r="E20" i="4"/>
  <c r="E33" i="4"/>
  <c r="D74" i="4"/>
  <c r="D63" i="4" s="1"/>
  <c r="E49" i="4" l="1"/>
  <c r="H49" i="4" s="1"/>
  <c r="E87" i="4"/>
  <c r="F72" i="4"/>
  <c r="G72" i="4" s="1"/>
  <c r="F51" i="4"/>
  <c r="D23" i="4"/>
  <c r="D37" i="4" s="1"/>
  <c r="E115" i="4"/>
  <c r="E124" i="4" s="1"/>
  <c r="F69" i="4"/>
  <c r="F19" i="4"/>
  <c r="F20" i="4"/>
  <c r="F33" i="4"/>
  <c r="C89" i="4"/>
  <c r="D50" i="3"/>
  <c r="C111" i="4"/>
  <c r="D54" i="3"/>
  <c r="C115" i="4"/>
  <c r="C124" i="4" s="1"/>
  <c r="C88" i="4"/>
  <c r="C106" i="4" s="1"/>
  <c r="C110" i="4"/>
  <c r="C78" i="4"/>
  <c r="G12" i="4"/>
  <c r="G26" i="4"/>
  <c r="G18" i="4"/>
  <c r="G45" i="4"/>
  <c r="G16" i="4"/>
  <c r="D28" i="4"/>
  <c r="D30" i="4"/>
  <c r="D62" i="4"/>
  <c r="D64" i="4" s="1"/>
  <c r="D87" i="4"/>
  <c r="E52" i="4"/>
  <c r="F52" i="4"/>
  <c r="E36" i="4"/>
  <c r="E34" i="4"/>
  <c r="H11" i="4"/>
  <c r="H26" i="4" s="1"/>
  <c r="C28" i="4"/>
  <c r="C30" i="4"/>
  <c r="F27" i="4"/>
  <c r="E62" i="4"/>
  <c r="E64" i="4" s="1"/>
  <c r="F58" i="3"/>
  <c r="E22" i="4"/>
  <c r="H16" i="4"/>
  <c r="F48" i="4" l="1"/>
  <c r="F49" i="4" s="1"/>
  <c r="F103" i="4"/>
  <c r="F105" i="4" s="1"/>
  <c r="E111" i="4"/>
  <c r="E110" i="4"/>
  <c r="E88" i="4"/>
  <c r="F54" i="3"/>
  <c r="F57" i="3" s="1"/>
  <c r="F60" i="3" s="1"/>
  <c r="F50" i="3"/>
  <c r="E78" i="4" s="1"/>
  <c r="E89" i="4"/>
  <c r="E80" i="4" s="1"/>
  <c r="E83" i="4" s="1"/>
  <c r="D35" i="4"/>
  <c r="G69" i="4"/>
  <c r="G51" i="4"/>
  <c r="G27" i="4"/>
  <c r="H12" i="4"/>
  <c r="D51" i="3"/>
  <c r="E13" i="4"/>
  <c r="C79" i="4"/>
  <c r="C96" i="4"/>
  <c r="C117" i="4"/>
  <c r="C92" i="4"/>
  <c r="C80" i="4"/>
  <c r="F22" i="4"/>
  <c r="F13" i="4" s="1"/>
  <c r="G58" i="3"/>
  <c r="D111" i="4"/>
  <c r="E54" i="3"/>
  <c r="E57" i="3" s="1"/>
  <c r="E60" i="3" s="1"/>
  <c r="D115" i="4"/>
  <c r="D124" i="4" s="1"/>
  <c r="D110" i="4"/>
  <c r="E50" i="3"/>
  <c r="D89" i="4"/>
  <c r="D88" i="4"/>
  <c r="D106" i="4" s="1"/>
  <c r="G20" i="4"/>
  <c r="H20" i="4" s="1"/>
  <c r="I58" i="3" s="1"/>
  <c r="D73" i="3" s="1"/>
  <c r="G33" i="4"/>
  <c r="G19" i="4"/>
  <c r="H18" i="4"/>
  <c r="H33" i="4" s="1"/>
  <c r="C116" i="4"/>
  <c r="F36" i="4"/>
  <c r="F34" i="4"/>
  <c r="E23" i="4"/>
  <c r="H45" i="4"/>
  <c r="D57" i="3"/>
  <c r="F74" i="4"/>
  <c r="F63" i="4" s="1"/>
  <c r="G73" i="4"/>
  <c r="G52" i="4" l="1"/>
  <c r="G103" i="4"/>
  <c r="G105" i="4" s="1"/>
  <c r="E116" i="4"/>
  <c r="E106" i="4"/>
  <c r="F51" i="3"/>
  <c r="G74" i="4"/>
  <c r="G63" i="4" s="1"/>
  <c r="G87" i="4" s="1"/>
  <c r="E117" i="4"/>
  <c r="E126" i="4" s="1"/>
  <c r="E92" i="4"/>
  <c r="E93" i="4" s="1"/>
  <c r="E107" i="4" s="1"/>
  <c r="F62" i="3"/>
  <c r="E135" i="4" s="1"/>
  <c r="G48" i="4"/>
  <c r="G49" i="4" s="1"/>
  <c r="E96" i="4"/>
  <c r="E79" i="4"/>
  <c r="E51" i="3"/>
  <c r="E62" i="3" s="1"/>
  <c r="D135" i="4" s="1"/>
  <c r="D78" i="4"/>
  <c r="E125" i="4"/>
  <c r="E37" i="4"/>
  <c r="E35" i="4"/>
  <c r="C97" i="4"/>
  <c r="H27" i="4"/>
  <c r="H29" i="4"/>
  <c r="F62" i="4"/>
  <c r="F87" i="4"/>
  <c r="G34" i="4"/>
  <c r="G36" i="4"/>
  <c r="H19" i="4"/>
  <c r="I70" i="3" a="1"/>
  <c r="I70" i="3" s="1"/>
  <c r="D60" i="3"/>
  <c r="D62" i="3" s="1"/>
  <c r="F23" i="4"/>
  <c r="H58" i="3"/>
  <c r="G22" i="4"/>
  <c r="G13" i="4" s="1"/>
  <c r="H13" i="4" s="1"/>
  <c r="C83" i="4"/>
  <c r="E30" i="4"/>
  <c r="E28" i="4"/>
  <c r="C125" i="4"/>
  <c r="D116" i="4"/>
  <c r="F30" i="4"/>
  <c r="F28" i="4"/>
  <c r="C93" i="4"/>
  <c r="C107" i="4" s="1"/>
  <c r="D117" i="4"/>
  <c r="D92" i="4"/>
  <c r="D80" i="4"/>
  <c r="D83" i="4" s="1"/>
  <c r="C126" i="4"/>
  <c r="C120" i="4"/>
  <c r="C129" i="4" s="1"/>
  <c r="E120" i="4" l="1"/>
  <c r="E129" i="4" s="1"/>
  <c r="E109" i="4"/>
  <c r="I72" i="3" a="1"/>
  <c r="I72" i="3" s="1"/>
  <c r="G62" i="4"/>
  <c r="G64" i="4" s="1"/>
  <c r="I71" i="3" a="1"/>
  <c r="I71" i="3" s="1"/>
  <c r="F77" i="3" s="1" a="1"/>
  <c r="F77" i="3" s="1"/>
  <c r="H63" i="4"/>
  <c r="H22" i="4"/>
  <c r="E121" i="4"/>
  <c r="E130" i="4" s="1"/>
  <c r="F37" i="4"/>
  <c r="F35" i="4"/>
  <c r="C109" i="4"/>
  <c r="G23" i="4"/>
  <c r="H23" i="4" s="1"/>
  <c r="F64" i="4"/>
  <c r="D96" i="4"/>
  <c r="D79" i="4"/>
  <c r="F115" i="4"/>
  <c r="F124" i="4" s="1"/>
  <c r="F88" i="4"/>
  <c r="F110" i="4"/>
  <c r="G50" i="3"/>
  <c r="F89" i="4"/>
  <c r="F111" i="4"/>
  <c r="G54" i="3"/>
  <c r="H87" i="4"/>
  <c r="D93" i="4"/>
  <c r="D107" i="4" s="1"/>
  <c r="C121" i="4"/>
  <c r="C130" i="4" s="1"/>
  <c r="G30" i="4"/>
  <c r="G28" i="4"/>
  <c r="E84" i="4"/>
  <c r="E97" i="4"/>
  <c r="C135" i="4"/>
  <c r="C136" i="4" s="1"/>
  <c r="H30" i="4"/>
  <c r="H28" i="4"/>
  <c r="D125" i="4"/>
  <c r="C84" i="4"/>
  <c r="H54" i="3"/>
  <c r="H57" i="3" s="1"/>
  <c r="H60" i="3" s="1"/>
  <c r="G115" i="4"/>
  <c r="G124" i="4" s="1"/>
  <c r="G88" i="4"/>
  <c r="G110" i="4"/>
  <c r="G89" i="4"/>
  <c r="H50" i="3"/>
  <c r="G111" i="4"/>
  <c r="D126" i="4"/>
  <c r="D120" i="4"/>
  <c r="D129" i="4" s="1"/>
  <c r="H34" i="4"/>
  <c r="H36" i="4"/>
  <c r="H62" i="4" l="1"/>
  <c r="H64" i="4" s="1"/>
  <c r="I73" i="3"/>
  <c r="I75" i="3" s="1"/>
  <c r="D121" i="4"/>
  <c r="D130" i="4" s="1"/>
  <c r="D136" i="4"/>
  <c r="C137" i="4"/>
  <c r="D137" i="4"/>
  <c r="D109" i="4"/>
  <c r="C98" i="4"/>
  <c r="C100" i="4"/>
  <c r="H115" i="4"/>
  <c r="H124" i="4" s="1"/>
  <c r="H105" i="4"/>
  <c r="E98" i="4"/>
  <c r="E100" i="4"/>
  <c r="G57" i="3"/>
  <c r="I54" i="3"/>
  <c r="D72" i="3" s="1"/>
  <c r="D75" i="3" s="1"/>
  <c r="K75" i="3" s="1"/>
  <c r="D84" i="4"/>
  <c r="D97" i="4"/>
  <c r="H35" i="4"/>
  <c r="H37" i="4"/>
  <c r="H51" i="3"/>
  <c r="H62" i="3" s="1"/>
  <c r="G135" i="4" s="1"/>
  <c r="G78" i="4"/>
  <c r="F117" i="4"/>
  <c r="F92" i="4"/>
  <c r="F80" i="4"/>
  <c r="H89" i="4"/>
  <c r="H117" i="4" s="1"/>
  <c r="G51" i="3"/>
  <c r="F78" i="4"/>
  <c r="I50" i="3"/>
  <c r="G37" i="4"/>
  <c r="G35" i="4"/>
  <c r="G116" i="4"/>
  <c r="G106" i="4"/>
  <c r="G117" i="4"/>
  <c r="G92" i="4"/>
  <c r="G93" i="4" s="1"/>
  <c r="G80" i="4"/>
  <c r="G83" i="4" s="1"/>
  <c r="F116" i="4"/>
  <c r="F106" i="4"/>
  <c r="H88" i="4"/>
  <c r="F78" i="3"/>
  <c r="H92" i="4" l="1"/>
  <c r="H116" i="4"/>
  <c r="H106" i="4"/>
  <c r="H108" i="4"/>
  <c r="G125" i="4"/>
  <c r="F83" i="4"/>
  <c r="H83" i="4" s="1"/>
  <c r="H80" i="4"/>
  <c r="D98" i="4"/>
  <c r="D100" i="4"/>
  <c r="G109" i="4"/>
  <c r="G107" i="4"/>
  <c r="F125" i="4"/>
  <c r="F93" i="4"/>
  <c r="G96" i="4"/>
  <c r="G79" i="4"/>
  <c r="G60" i="3"/>
  <c r="I60" i="3" s="1"/>
  <c r="I57" i="3"/>
  <c r="F96" i="4"/>
  <c r="F79" i="4"/>
  <c r="H78" i="4"/>
  <c r="H96" i="4" s="1"/>
  <c r="F126" i="4"/>
  <c r="F120" i="4"/>
  <c r="F129" i="4" s="1"/>
  <c r="G126" i="4"/>
  <c r="G120" i="4"/>
  <c r="G129" i="4" s="1"/>
  <c r="I51" i="3"/>
  <c r="H126" i="4"/>
  <c r="H120" i="4"/>
  <c r="H129" i="4" s="1"/>
  <c r="E136" i="4"/>
  <c r="E137" i="4"/>
  <c r="G121" i="4" l="1"/>
  <c r="G130" i="4" s="1"/>
  <c r="G62" i="3"/>
  <c r="F135" i="4" s="1"/>
  <c r="F136" i="4" s="1"/>
  <c r="F84" i="4"/>
  <c r="F97" i="4"/>
  <c r="H79" i="4"/>
  <c r="H97" i="4" s="1"/>
  <c r="F137" i="4"/>
  <c r="F109" i="4"/>
  <c r="F107" i="4"/>
  <c r="H93" i="4"/>
  <c r="F121" i="4"/>
  <c r="F130" i="4" s="1"/>
  <c r="H125" i="4"/>
  <c r="H121" i="4"/>
  <c r="H130" i="4" s="1"/>
  <c r="G97" i="4"/>
  <c r="G84" i="4"/>
  <c r="G136" i="4" l="1"/>
  <c r="G137" i="4"/>
  <c r="H137" i="4" s="1"/>
  <c r="D65" i="3" s="1"/>
  <c r="I62" i="3"/>
  <c r="D64" i="3" s="1"/>
  <c r="H109" i="4"/>
  <c r="H107" i="4"/>
  <c r="G100" i="4"/>
  <c r="G98" i="4"/>
  <c r="F100" i="4"/>
  <c r="F98" i="4"/>
  <c r="H84" i="4"/>
  <c r="H100" i="4" l="1"/>
  <c r="H9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<sst xmlns="http://schemas.openxmlformats.org/spreadsheetml/2006/main" count="397" uniqueCount="281">
  <si>
    <t>Copyright © 2025 Kognitiv Corporation. All rights reserved.</t>
  </si>
  <si>
    <t>Loyalty program ROI calculator</t>
  </si>
  <si>
    <t xml:space="preserve">A high-level loyalty program ROI calculator. </t>
  </si>
  <si>
    <t>Introduction.</t>
  </si>
  <si>
    <t xml:space="preserve">Loyalty programs are a powerful tool for engaging your customers – and getting them to be more valuable for you. </t>
  </si>
  <si>
    <t>But that comes with a cost. Most programs offer customers an incentive, like points or free shipping, to change their behavior. Programs take work to design and launch. And there are costs for operating programs and using them to deliver communications to program members.</t>
  </si>
  <si>
    <t xml:space="preserve">This file provides a calculator for the costs and benefits of a loyalty program and calculates an ROI for your loyalty investment. </t>
  </si>
  <si>
    <r>
      <rPr>
        <b/>
        <sz val="11"/>
        <color theme="1"/>
        <rFont val="Calibri"/>
        <family val="2"/>
        <scheme val="minor"/>
      </rPr>
      <t xml:space="preserve">You can use the calculator with as few as 7 inputs. </t>
    </r>
    <r>
      <rPr>
        <sz val="11"/>
        <color theme="1"/>
        <rFont val="Calibri"/>
        <family val="2"/>
        <scheme val="minor"/>
      </rPr>
      <t xml:space="preserve">There also are optional inputs that will give you a more complete model. </t>
    </r>
  </si>
  <si>
    <r>
      <t xml:space="preserve">Even so, </t>
    </r>
    <r>
      <rPr>
        <b/>
        <sz val="11"/>
        <color theme="1"/>
        <rFont val="Calibri"/>
        <family val="2"/>
        <scheme val="minor"/>
      </rPr>
      <t>keep in mind that this is a simplified tool</t>
    </r>
    <r>
      <rPr>
        <sz val="11"/>
        <color theme="1"/>
        <rFont val="Calibri"/>
        <family val="2"/>
        <scheme val="minor"/>
      </rPr>
      <t>. There are many financial and non-financial factors to consider that aren’t captured here. But this file should give you a first view of your program's profitability and a starting point for deeper discussions.</t>
    </r>
  </si>
  <si>
    <t>What's here.</t>
  </si>
  <si>
    <t>This file has 4 relevant worksheets.</t>
  </si>
  <si>
    <r>
      <t xml:space="preserve">Welcome. </t>
    </r>
    <r>
      <rPr>
        <sz val="11"/>
        <color theme="1"/>
        <rFont val="Calibri"/>
        <family val="2"/>
        <scheme val="minor"/>
      </rPr>
      <t>This introductory sheet.</t>
    </r>
  </si>
  <si>
    <r>
      <t xml:space="preserve">Instructions. </t>
    </r>
    <r>
      <rPr>
        <sz val="11"/>
        <color theme="1"/>
        <rFont val="Calibri"/>
        <family val="2"/>
        <scheme val="minor"/>
      </rPr>
      <t>Notes on how to use the model.</t>
    </r>
  </si>
  <si>
    <r>
      <t xml:space="preserve">Model. </t>
    </r>
    <r>
      <rPr>
        <sz val="11"/>
        <color theme="1"/>
        <rFont val="Calibri"/>
        <family val="2"/>
        <scheme val="minor"/>
      </rPr>
      <t>The ROI model, containing inputs and outputs.</t>
    </r>
  </si>
  <si>
    <r>
      <t xml:space="preserve">Appendix - Calculations. </t>
    </r>
    <r>
      <rPr>
        <sz val="11"/>
        <color theme="1"/>
        <rFont val="Calibri"/>
        <family val="2"/>
        <scheme val="minor"/>
      </rPr>
      <t>Calculations used in the ROI model results, including 'without loyalty' baseline and 'with loyalty' financials.</t>
    </r>
  </si>
  <si>
    <t xml:space="preserve">Required inputs. </t>
  </si>
  <si>
    <t>The model requires inputs for:</t>
  </si>
  <si>
    <t>Your annual sales.</t>
  </si>
  <si>
    <t>Your margin, as a percent of sales.</t>
  </si>
  <si>
    <t>And about the program you'd like to model:</t>
  </si>
  <si>
    <t>An estimated percent of your customers who will be members of the program (values by vertical are given as a guideline).</t>
  </si>
  <si>
    <t>The value of the benefits you'll offer them (values by vertical are given as a guideline).</t>
  </si>
  <si>
    <t>An estimated cost to set up and launch your program.</t>
  </si>
  <si>
    <t>An estimated cost to run the program ongoing.</t>
  </si>
  <si>
    <t>What lift in spending you estimate the program will generate.</t>
  </si>
  <si>
    <t>Outputs.</t>
  </si>
  <si>
    <r>
      <rPr>
        <sz val="11"/>
        <color rgb="FF000000"/>
        <rFont val="Calibri"/>
      </rPr>
      <t xml:space="preserve">The file gives the </t>
    </r>
    <r>
      <rPr>
        <b/>
        <sz val="11"/>
        <color rgb="FF000000"/>
        <rFont val="Calibri"/>
      </rPr>
      <t>incremental</t>
    </r>
    <r>
      <rPr>
        <sz val="11"/>
        <color rgb="FF000000"/>
        <rFont val="Calibri"/>
      </rPr>
      <t xml:space="preserve"> benefits, costs, and net value your program will create. </t>
    </r>
  </si>
  <si>
    <t>These values are above what your brand would generate without your program.</t>
  </si>
  <si>
    <t>What's not.</t>
  </si>
  <si>
    <t>This is a simplified model. Some of the considerations that aren't included:</t>
  </si>
  <si>
    <r>
      <rPr>
        <sz val="11"/>
        <rFont val="Segoe UI Symbol"/>
        <family val="2"/>
      </rPr>
      <t>▸</t>
    </r>
    <r>
      <rPr>
        <sz val="11"/>
        <rFont val="Calibri"/>
        <family val="2"/>
      </rPr>
      <t xml:space="preserve"> </t>
    </r>
    <r>
      <rPr>
        <b/>
        <sz val="11"/>
        <rFont val="Calibri"/>
        <family val="2"/>
      </rPr>
      <t>Differences across customer groups</t>
    </r>
    <r>
      <rPr>
        <sz val="11"/>
        <rFont val="Calibri"/>
        <family val="2"/>
      </rPr>
      <t>. This model works on high-level averages. Program participation and impact will be different across customer behavioral and value groups. For example, today's best customers are more likely than today's lower-value customers to join a future program.</t>
    </r>
    <r>
      <rPr>
        <sz val="11"/>
        <rFont val="Calibri"/>
        <family val="2"/>
        <scheme val="minor"/>
      </rPr>
      <t xml:space="preserve"> This will impact your costs and opportunities for growth.</t>
    </r>
  </si>
  <si>
    <r>
      <rPr>
        <sz val="11"/>
        <rFont val="Segoe UI Symbol"/>
        <family val="2"/>
      </rPr>
      <t>▸</t>
    </r>
    <r>
      <rPr>
        <b/>
        <sz val="11"/>
        <rFont val="Calibri"/>
        <family val="2"/>
      </rPr>
      <t xml:space="preserve"> Ramping up over time. </t>
    </r>
    <r>
      <rPr>
        <sz val="11"/>
        <rFont val="Calibri"/>
        <family val="2"/>
      </rPr>
      <t>Here, participation and the impact of the program are immediate.</t>
    </r>
    <r>
      <rPr>
        <b/>
        <sz val="11"/>
        <rFont val="Calibri"/>
        <family val="2"/>
      </rPr>
      <t xml:space="preserve"> In reality, </t>
    </r>
    <r>
      <rPr>
        <sz val="11"/>
        <rFont val="Calibri"/>
        <family val="2"/>
      </rPr>
      <t>the take-up and impact of your program will grow over time. This will be effected by your launch (or program transition) strategy.</t>
    </r>
  </si>
  <si>
    <r>
      <rPr>
        <sz val="11"/>
        <rFont val="Segoe UI Symbol"/>
        <family val="2"/>
      </rPr>
      <t>▸</t>
    </r>
    <r>
      <rPr>
        <b/>
        <sz val="11"/>
        <rFont val="Calibri"/>
        <family val="2"/>
      </rPr>
      <t xml:space="preserve"> Tiering. </t>
    </r>
    <r>
      <rPr>
        <sz val="11"/>
        <rFont val="Calibri"/>
        <family val="2"/>
      </rPr>
      <t>The value of benefits in this model is entered as a total percent of sales. Detailed calculations would support tiering and other program structures.</t>
    </r>
  </si>
  <si>
    <r>
      <rPr>
        <sz val="11"/>
        <rFont val="Segoe UI Symbol"/>
        <family val="2"/>
      </rPr>
      <t>▸</t>
    </r>
    <r>
      <rPr>
        <sz val="11"/>
        <rFont val="Calibri"/>
        <family val="2"/>
      </rPr>
      <t xml:space="preserve"> </t>
    </r>
    <r>
      <rPr>
        <b/>
        <sz val="11"/>
        <rFont val="Calibri"/>
        <family val="2"/>
      </rPr>
      <t>Cost offsets and sources of funding.</t>
    </r>
    <r>
      <rPr>
        <sz val="11"/>
        <rFont val="Calibri"/>
        <family val="2"/>
      </rPr>
      <t xml:space="preserve"> Vendor funding and partnerships can offset program costs. You can re-allocate budget from other marketing streams to loyalty, offsetting loyalty costs. </t>
    </r>
  </si>
  <si>
    <r>
      <rPr>
        <sz val="11"/>
        <rFont val="Segoe UI Symbol"/>
        <family val="2"/>
      </rPr>
      <t>▸</t>
    </r>
    <r>
      <rPr>
        <sz val="11"/>
        <rFont val="Calibri"/>
        <family val="2"/>
      </rPr>
      <t xml:space="preserve"> </t>
    </r>
    <r>
      <rPr>
        <b/>
        <sz val="11"/>
        <rFont val="Calibri"/>
        <family val="2"/>
      </rPr>
      <t>Opportunity costs.</t>
    </r>
    <r>
      <rPr>
        <sz val="11"/>
        <rFont val="Calibri"/>
        <family val="2"/>
      </rPr>
      <t xml:space="preserve"> This model simplifies how opportunity costs and gross margin factor into your rewards costs.</t>
    </r>
  </si>
  <si>
    <r>
      <rPr>
        <sz val="11"/>
        <rFont val="Segoe UI Symbol"/>
        <family val="2"/>
      </rPr>
      <t>▸</t>
    </r>
    <r>
      <rPr>
        <sz val="11"/>
        <rFont val="Calibri"/>
        <family val="2"/>
      </rPr>
      <t xml:space="preserve"> </t>
    </r>
    <r>
      <rPr>
        <b/>
        <sz val="11"/>
        <rFont val="Calibri"/>
        <family val="2"/>
      </rPr>
      <t xml:space="preserve">Other financials. </t>
    </r>
    <r>
      <rPr>
        <sz val="11"/>
        <rFont val="Calibri"/>
        <family val="2"/>
      </rPr>
      <t>This file presents a cash-flow-like view of your program. Because of accounting rules for loyalty, your Profit and Loss (P&amp;L) statement will likely look different, and your program may have balance sheet impacts as well. All items here are before tax.</t>
    </r>
  </si>
  <si>
    <r>
      <rPr>
        <sz val="11"/>
        <rFont val="Segoe UI Symbol"/>
        <family val="2"/>
      </rPr>
      <t>▸</t>
    </r>
    <r>
      <rPr>
        <sz val="11"/>
        <rFont val="Calibri"/>
        <family val="2"/>
      </rPr>
      <t xml:space="preserve"> </t>
    </r>
    <r>
      <rPr>
        <b/>
        <sz val="11"/>
        <rFont val="Calibri"/>
        <family val="2"/>
      </rPr>
      <t xml:space="preserve">Stakeholders' views. </t>
    </r>
    <r>
      <rPr>
        <sz val="11"/>
        <rFont val="Calibri"/>
        <family val="2"/>
      </rPr>
      <t>If you have multiple brands or franchisees, you may need a view of your program's impact for different stakeholders. And your finance team may want additional calculations before they fully support your project.</t>
    </r>
  </si>
  <si>
    <t>Optional inputs.</t>
  </si>
  <si>
    <t>For a more detailed ROI calculations, this model allows you to enter optional inputs, including:</t>
  </si>
  <si>
    <t>Your current loyalty program (if applicable).</t>
  </si>
  <si>
    <t>Baseline growth rates for your business.</t>
  </si>
  <si>
    <t>Breakage and the net cost of program benefits to you.</t>
  </si>
  <si>
    <t>Impact of the program on customer churn.</t>
  </si>
  <si>
    <t>Learn more.</t>
  </si>
  <si>
    <t>To contact us and learn more about how loyalty strategies can help your brand - including using AI to create smarter lifecycle campaigns - please visit our website. We have over 80 years of experience helping clients simplify profitable customer loyalty strategies.</t>
  </si>
  <si>
    <t>https://www.kognitiv.com/company/contact</t>
  </si>
  <si>
    <t>This workbook is currently protected to avoid unintentional updates. 
To unlock the workbook, please submit a quick form to get the password!</t>
  </si>
  <si>
    <t>UNLOCK THE WORKBOOK</t>
  </si>
  <si>
    <t>Kognitiv’s Loyalty Program ROI Calculator is provided to you for informational purposes and should not be relied upon as the basis for making financial, legal, or other decisions. While we endeavor to provide useful and relevant information, Kognitiv makes no representations or warranties, either express or implied, and assumes no responsibility for the accuracy, completeness, reliability, or suitability of any results derived from the ROI Calculator.  Kognitiv encourages you to use the ROI Calculator for further discussions with your marketing, financial, tax, and legal advisors, and we’re ready to engage with you and your team to review the results and find out how loyalty would fit within your organization. </t>
  </si>
  <si>
    <t>Instructions</t>
  </si>
  <si>
    <t>The Model tab has 3 sections:</t>
  </si>
  <si>
    <t>Required inputs</t>
  </si>
  <si>
    <t>Outputs</t>
  </si>
  <si>
    <t>Optional inputs</t>
  </si>
  <si>
    <t>You can scroll between these sections, or jump to a section using the links in the top-right of the Model worksheet.</t>
  </si>
  <si>
    <t>Required inputs.</t>
  </si>
  <si>
    <t>Inputs.</t>
  </si>
  <si>
    <t xml:space="preserve">Enter the inputs to the model at the top of the Model worksheet, in the section headed "Inputs". </t>
  </si>
  <si>
    <t>Cells that are yellow with blue text are for inputs:</t>
  </si>
  <si>
    <t>Inputs</t>
  </si>
  <si>
    <t>There are notes to the right of each input giving an explanation of the value you're entering.</t>
  </si>
  <si>
    <t>Note: Existing programs</t>
  </si>
  <si>
    <r>
      <t xml:space="preserve">In the Optional Inputs section, you can choose to enter that you have an existing loyalty program. If you do, the values you enter in the Program Impact inputs section should be values </t>
    </r>
    <r>
      <rPr>
        <i/>
        <sz val="11"/>
        <color theme="1"/>
        <rFont val="Calibri"/>
        <family val="2"/>
        <scheme val="minor"/>
      </rPr>
      <t>above</t>
    </r>
    <r>
      <rPr>
        <sz val="11"/>
        <color theme="1"/>
        <rFont val="Calibri"/>
        <family val="2"/>
        <scheme val="minor"/>
      </rPr>
      <t xml:space="preserve"> what you are experiencing for your current program. The model assumes your current program's impact is included in the 'baseline' values you enter.</t>
    </r>
  </si>
  <si>
    <t>For example, if you program is generating 10% lift in customers' sales today, and you believe your enhanced program could provide a 15% lift, enter the difference (5%) in the input box.</t>
  </si>
  <si>
    <t>Guidelines.</t>
  </si>
  <si>
    <t>For certain inputs, you'll be able to see guideline values based on your vertical. These guidelines are shown with a dotted border.</t>
  </si>
  <si>
    <t>You can see values for your vertical using the drop-down menu in the guideline box.</t>
  </si>
  <si>
    <t>Note that you'll still need to choose and enter a value in the appropriate input box in order to update the model.</t>
  </si>
  <si>
    <t>As you enter values in the Inputs section, the model outputs will update. The model shows a cash-flow like view of your program's financials.</t>
  </si>
  <si>
    <t>You can choose to view your financials over different numbers of years by using the drop-down at the top of the Outputs section.</t>
  </si>
  <si>
    <t>The financial view shows the incremental impact of your program, above the baseline you provided for your business.</t>
  </si>
  <si>
    <r>
      <t xml:space="preserve">In the Optional Inputs section, you can choose to enter that you have an existing loyalty program. If you do, the values shown in the Outputs section will be amounts </t>
    </r>
    <r>
      <rPr>
        <i/>
        <sz val="11"/>
        <color theme="1"/>
        <rFont val="Calibri"/>
        <family val="2"/>
        <scheme val="minor"/>
      </rPr>
      <t>incremental</t>
    </r>
    <r>
      <rPr>
        <sz val="11"/>
        <color theme="1"/>
        <rFont val="Calibri"/>
        <family val="2"/>
        <scheme val="minor"/>
      </rPr>
      <t xml:space="preserve"> to your current program.</t>
    </r>
  </si>
  <si>
    <t>In the Evaluation section, you'll see a break-down of the sources of incremental costs and margin.</t>
  </si>
  <si>
    <t>You'll also see a calculation showing how much increase in customers' spending is needed to break-even at your current costs, and how rich you can afford the program rewards to be to achieve the lift in spending that you've input.</t>
  </si>
  <si>
    <t>If you've chosen to enter a customer count in the Optional Inputs section, you'll also be able to see what your average customer will earn over the course of a year in the program.</t>
  </si>
  <si>
    <t xml:space="preserve">Optional inputs. </t>
  </si>
  <si>
    <t>Unlock all optional inputs</t>
  </si>
  <si>
    <t>You can add elements to the model by completing some or all of the Optional inputs section.</t>
  </si>
  <si>
    <t>This section provides inputs on:</t>
  </si>
  <si>
    <r>
      <rPr>
        <b/>
        <sz val="11"/>
        <color rgb="FF000000"/>
        <rFont val="Calibri"/>
      </rPr>
      <t>Baseline growth rate:</t>
    </r>
    <r>
      <rPr>
        <sz val="11"/>
        <color rgb="FF000000"/>
        <rFont val="Calibri"/>
      </rPr>
      <t xml:space="preserve"> How you project your business will grow over time, without changes to your loyalty strategy.</t>
    </r>
  </si>
  <si>
    <r>
      <rPr>
        <b/>
        <sz val="11"/>
        <color rgb="FF000000"/>
        <rFont val="Calibri"/>
      </rPr>
      <t xml:space="preserve">Current loyalty program: </t>
    </r>
    <r>
      <rPr>
        <sz val="11"/>
        <color rgb="FF000000"/>
        <rFont val="Calibri"/>
      </rPr>
      <t>If you have a current program, how many customers it's engaging and what it's costing you today.</t>
    </r>
  </si>
  <si>
    <r>
      <rPr>
        <b/>
        <sz val="11"/>
        <color rgb="FF000000"/>
        <rFont val="Calibri"/>
      </rPr>
      <t>Promotional benefits:</t>
    </r>
    <r>
      <rPr>
        <sz val="11"/>
        <color rgb="FF000000"/>
        <rFont val="Calibri"/>
      </rPr>
      <t xml:space="preserve"> Customer facing value: If in addition to your base program costs you can separately budget for loyalty promotions.</t>
    </r>
  </si>
  <si>
    <r>
      <rPr>
        <b/>
        <sz val="11"/>
        <color rgb="FF000000"/>
        <rFont val="Calibri"/>
      </rPr>
      <t>Breakage rate for program benefits:</t>
    </r>
    <r>
      <rPr>
        <sz val="11"/>
        <color rgb="FF000000"/>
        <rFont val="Calibri"/>
      </rPr>
      <t xml:space="preserve"> The portion of program benefits that will not be used - and so not generate costs for you.</t>
    </r>
  </si>
  <si>
    <r>
      <rPr>
        <b/>
        <sz val="11"/>
        <color rgb="FF000000"/>
        <rFont val="Calibri"/>
      </rPr>
      <t>Gross margin on program benefits:</t>
    </r>
    <r>
      <rPr>
        <sz val="11"/>
        <color rgb="FF000000"/>
        <rFont val="Calibri"/>
      </rPr>
      <t xml:space="preserve"> If there's a difference between the value customers see in your benefits and your costs to provide them, you can enter that information here.</t>
    </r>
  </si>
  <si>
    <r>
      <rPr>
        <b/>
        <sz val="11"/>
        <color rgb="FF000000"/>
        <rFont val="Calibri"/>
      </rPr>
      <t xml:space="preserve">Active customers &amp; program impact on churn: </t>
    </r>
    <r>
      <rPr>
        <sz val="11"/>
        <color rgb="FF000000"/>
        <rFont val="Calibri"/>
      </rPr>
      <t>Allows you to enter a customer count and the impact of the program on customer churn.</t>
    </r>
  </si>
  <si>
    <t xml:space="preserve">As you enter values in this section, the model outputs will update. </t>
  </si>
  <si>
    <t>Jump to:</t>
  </si>
  <si>
    <t>High-level loyalty program ROI calculator</t>
  </si>
  <si>
    <r>
      <t xml:space="preserve">Cells in yellow with </t>
    </r>
    <r>
      <rPr>
        <sz val="11"/>
        <color theme="4"/>
        <rFont val="Calibri"/>
        <family val="2"/>
        <scheme val="minor"/>
      </rPr>
      <t>blue text</t>
    </r>
    <r>
      <rPr>
        <sz val="11"/>
        <color theme="1"/>
        <rFont val="Calibri"/>
        <family val="2"/>
        <scheme val="minor"/>
      </rPr>
      <t xml:space="preserve"> are inputs.</t>
    </r>
  </si>
  <si>
    <t>You can complete this model with as few as 7 inputs. Optional additional inputs are available at the bottom of the worksheet.</t>
  </si>
  <si>
    <t>What are your business metrics today?</t>
  </si>
  <si>
    <t>Annual sales</t>
  </si>
  <si>
    <t>Total sales for your business over a 12-month period. Enter a value greater than 0.</t>
  </si>
  <si>
    <t>Margin</t>
  </si>
  <si>
    <t>Your gross margin, before loyalty costs. If possible, exclude fixed costs that don't change as your sales volume increases or decreases.</t>
  </si>
  <si>
    <t>What will your future program look like?</t>
  </si>
  <si>
    <t>Percent of customers participating in loyalty</t>
  </si>
  <si>
    <t>What percent of your customers will participate in loyalty?</t>
  </si>
  <si>
    <t xml:space="preserve">Program benefits: Customer-facing value </t>
  </si>
  <si>
    <t>What will be the value of the benefits in your program - for example, the value of loyalty points earned, as % of members' spending?</t>
  </si>
  <si>
    <t>This value should include all benefits, including welcome bonuses, free products/services offered, tier benefits, and others.</t>
  </si>
  <si>
    <t>Typical values for your vertical</t>
  </si>
  <si>
    <t>Choose your vertical</t>
  </si>
  <si>
    <t>Select…</t>
  </si>
  <si>
    <t>Select to see typical values for programs in your vertical</t>
  </si>
  <si>
    <t xml:space="preserve">Base benefits: Customer-facing value </t>
  </si>
  <si>
    <t>What will your future program cost to build and operate?</t>
  </si>
  <si>
    <t>One-time set-up costs</t>
  </si>
  <si>
    <t>The cost to develop and launch your program. Examples include technology set-up or integration costs, program website or app design.</t>
  </si>
  <si>
    <t>Annual ongoing fixed costs</t>
  </si>
  <si>
    <t>The ongoing costs for the technology and people costs for operating your program above.</t>
  </si>
  <si>
    <t xml:space="preserve">Include the cost of rewards and offers under the 'program benefits' section. </t>
  </si>
  <si>
    <t>What impact will your program have on members' behavior (above your baseline)?</t>
  </si>
  <si>
    <t>Sales per member</t>
  </si>
  <si>
    <t>vs. baseline</t>
  </si>
  <si>
    <t>Baseline</t>
  </si>
  <si>
    <t>Change</t>
  </si>
  <si>
    <t>With loyalty</t>
  </si>
  <si>
    <t>Lift in members' spending</t>
  </si>
  <si>
    <t>What will be the impact of your future program, above your baseline scenario?</t>
  </si>
  <si>
    <t>Per customer metrics only available if the number of active customers has been input in the Optional Inputs section</t>
  </si>
  <si>
    <t>Loyalty ROI</t>
  </si>
  <si>
    <t>The view for your business</t>
  </si>
  <si>
    <t>Number of years to show:</t>
  </si>
  <si>
    <t>Total</t>
  </si>
  <si>
    <t>Incremental program impact</t>
  </si>
  <si>
    <t>Sales</t>
  </si>
  <si>
    <t>Incremental sales from loyalty members</t>
  </si>
  <si>
    <t>Gross Margin</t>
  </si>
  <si>
    <t>Gross margin on incremental sales</t>
  </si>
  <si>
    <t>Future program</t>
  </si>
  <si>
    <t>Rewards</t>
  </si>
  <si>
    <t>Cost of program rewards &amp; benefits</t>
  </si>
  <si>
    <t>One-time costs</t>
  </si>
  <si>
    <t>One-time development &amp; launch costs</t>
  </si>
  <si>
    <t>Ongoing costs</t>
  </si>
  <si>
    <t>Ongoing program technology &amp; operations</t>
  </si>
  <si>
    <t>Future loyalty costs</t>
  </si>
  <si>
    <t>Baseline loyalty costs</t>
  </si>
  <si>
    <t>Costs for current program, if applicable</t>
  </si>
  <si>
    <t>Incremental loyalty costs</t>
  </si>
  <si>
    <t>Incremental program costs</t>
  </si>
  <si>
    <t>Net benefit</t>
  </si>
  <si>
    <t>ROI</t>
  </si>
  <si>
    <t>Break-even months</t>
  </si>
  <si>
    <t>Evaluation</t>
  </si>
  <si>
    <t>Sources of costs and benefits</t>
  </si>
  <si>
    <t>Lift in sales</t>
  </si>
  <si>
    <t>Improvement in churn</t>
  </si>
  <si>
    <t>Rewards costs</t>
  </si>
  <si>
    <t>Cross-effect</t>
  </si>
  <si>
    <t>Less: Current program costs</t>
  </si>
  <si>
    <t>Incremental sales</t>
  </si>
  <si>
    <t>Gross margin</t>
  </si>
  <si>
    <t>Incremental costs</t>
  </si>
  <si>
    <t>Incremental benefit</t>
  </si>
  <si>
    <t>With current inputs, the program needs to generate a lift in members' spending of:</t>
  </si>
  <si>
    <t>With the currently modelled lift, the program can offer members</t>
  </si>
  <si>
    <t>The view for your customers</t>
  </si>
  <si>
    <r>
      <t xml:space="preserve">Your </t>
    </r>
    <r>
      <rPr>
        <u/>
        <sz val="11"/>
        <color theme="1"/>
        <rFont val="Calibri"/>
        <family val="2"/>
        <scheme val="minor"/>
      </rPr>
      <t>average</t>
    </r>
    <r>
      <rPr>
        <sz val="11"/>
        <color theme="1"/>
        <rFont val="Calibri"/>
        <family val="2"/>
        <scheme val="minor"/>
      </rPr>
      <t xml:space="preserve"> member in the program will spend</t>
    </r>
  </si>
  <si>
    <t>per year</t>
  </si>
  <si>
    <t>They will earn</t>
  </si>
  <si>
    <t>per year in your program's base value, and</t>
  </si>
  <si>
    <t>per year in promotional value</t>
  </si>
  <si>
    <t>For a total of</t>
  </si>
  <si>
    <t>Optional inputs you can use to increase the detail of your model.</t>
  </si>
  <si>
    <t>Your business</t>
  </si>
  <si>
    <t>Baseline growth rate</t>
  </si>
  <si>
    <t>What is the projected annual growth rate of your business, before changing your loyalty strategy? To exclude this from the model, enter 0.</t>
  </si>
  <si>
    <t>Current loyalty program</t>
  </si>
  <si>
    <t>Do you have a loyalty program in place today?</t>
  </si>
  <si>
    <t>No</t>
  </si>
  <si>
    <t>Do you have a program in place today, that is part of your baseline scenario? Choose "Yes" or "No".</t>
  </si>
  <si>
    <t>If "Yes", what does your program look like today?</t>
  </si>
  <si>
    <t>For your current program</t>
  </si>
  <si>
    <t>What percent of your customers participate in loyalty?</t>
  </si>
  <si>
    <t>What are the value of the benefits in your program? Include all benefits, such as welcome bonuses, tier benefits, and others.</t>
  </si>
  <si>
    <t>Value input for new program</t>
  </si>
  <si>
    <t>Optional</t>
  </si>
  <si>
    <t>Promotional benefits: Customer facing value</t>
  </si>
  <si>
    <t>What is your budget for promotional offers, above the base benefits in your program, as a % of members' spending? To exclude this from the model, enter 0.</t>
  </si>
  <si>
    <t>Breakage rate for program benefits</t>
  </si>
  <si>
    <t>Of all of your program benefits, what percent are not used by customers before they expire? To exclude this from the model, enter 0.</t>
  </si>
  <si>
    <t>Gross margin on program benefits</t>
  </si>
  <si>
    <t>What is your margin on the benefits you offer as rewards? To exclude this from the model, enter 0.</t>
  </si>
  <si>
    <t>Perceived value of rewards for members</t>
  </si>
  <si>
    <t>As a % of members' spending. Includes base benefits and promotions.</t>
  </si>
  <si>
    <t>Net costs of rewards as % of members' spend</t>
  </si>
  <si>
    <t>The cost of rewards, less breakage and margin on program benefits, as a percent of members' spending.</t>
  </si>
  <si>
    <t/>
  </si>
  <si>
    <t>Ongoing fixed costs</t>
  </si>
  <si>
    <t>The ongoing costs for the technology and people costs for operating your program.</t>
  </si>
  <si>
    <t>Future loyalty program</t>
  </si>
  <si>
    <t>What will be your budget for promotional offers, in addition to the base benefits in your program, as a % of members' spending?</t>
  </si>
  <si>
    <t>To exclude this from the model, enter 0.</t>
  </si>
  <si>
    <t>Of all of your program benefits, what percent will not be used by customers before they expire? To exclude this from the model, enter 0.</t>
  </si>
  <si>
    <t>Program benefits that expire do not show as costs for your program.</t>
  </si>
  <si>
    <t>What is your margin on the benefits you offer as rewards?</t>
  </si>
  <si>
    <t>For example, if a free item has a retail value of $10, but only costs your business $5 to provide, enter 50%.</t>
  </si>
  <si>
    <t>The cost of rewards, less breakage and margin on program benefits, as a percent of members' spending</t>
  </si>
  <si>
    <t>Active customers &amp; program impact on churn</t>
  </si>
  <si>
    <t>Current number of active customers</t>
  </si>
  <si>
    <t>Number of unique customers making a purchase in a 12-month period (both loyalty members and others). To exclude this from the model, enter 0.</t>
  </si>
  <si>
    <t>Note: Changes to customer churn rate will be applied even if customer count is set to 0.</t>
  </si>
  <si>
    <t>Current churn rate</t>
  </si>
  <si>
    <r>
      <t xml:space="preserve">Of the customers active in the past 12 months, what percent are </t>
    </r>
    <r>
      <rPr>
        <b/>
        <sz val="11"/>
        <color theme="1"/>
        <rFont val="Calibri"/>
        <family val="2"/>
        <scheme val="minor"/>
      </rPr>
      <t>not expected to transact again</t>
    </r>
    <r>
      <rPr>
        <sz val="11"/>
        <color theme="1"/>
        <rFont val="Calibri"/>
        <family val="2"/>
        <scheme val="minor"/>
      </rPr>
      <t xml:space="preserve"> in the coming 12 months? To exclude this from the model, enter 0.</t>
    </r>
  </si>
  <si>
    <t>Improvement in customer churn</t>
  </si>
  <si>
    <t>The improvement in members' likelihood to churn</t>
  </si>
  <si>
    <r>
      <t xml:space="preserve">Years included in the model </t>
    </r>
    <r>
      <rPr>
        <sz val="6.3"/>
        <rFont val="Calibri"/>
        <family val="2"/>
      </rPr>
      <t>▶</t>
    </r>
  </si>
  <si>
    <r>
      <t xml:space="preserve">Baseline </t>
    </r>
    <r>
      <rPr>
        <sz val="9"/>
        <rFont val="Calibri"/>
        <family val="2"/>
        <scheme val="minor"/>
      </rPr>
      <t>▼</t>
    </r>
  </si>
  <si>
    <t>Active customers</t>
  </si>
  <si>
    <t>Average. Notational if not provided.</t>
  </si>
  <si>
    <t>Total sales</t>
  </si>
  <si>
    <t>Margin before loyalty costs</t>
  </si>
  <si>
    <t>Margin after loyalty costs</t>
  </si>
  <si>
    <t>Loyalty (Current program)</t>
  </si>
  <si>
    <t>Active loyalty members</t>
  </si>
  <si>
    <t>average</t>
  </si>
  <si>
    <t>Loyalty costs</t>
  </si>
  <si>
    <t>Sales / Customer</t>
  </si>
  <si>
    <t>Margin / Customer before loyalty costs</t>
  </si>
  <si>
    <t>Margin / Customer after loyalty costs</t>
  </si>
  <si>
    <t>Margin % before loyalty costs</t>
  </si>
  <si>
    <t>Margin % after loyalty costs</t>
  </si>
  <si>
    <t>Sales / Member</t>
  </si>
  <si>
    <t>Margin / Member before loyalty costs</t>
  </si>
  <si>
    <t>Margin / Member after loyalty costs</t>
  </si>
  <si>
    <t>% active customers participating in loyalty</t>
  </si>
  <si>
    <t>Rewards earned as a % of member sales (perceived value)</t>
  </si>
  <si>
    <t>Rewards earned as a % of member sales (cost)</t>
  </si>
  <si>
    <t>Future program participants - Baseline before the impact of new loyalty strategy ▼</t>
  </si>
  <si>
    <t>% of total customers (baseline)</t>
  </si>
  <si>
    <t>Loyalty sales</t>
  </si>
  <si>
    <t>Spend per active member</t>
  </si>
  <si>
    <t>vs. customer average</t>
  </si>
  <si>
    <t>With new program ▼</t>
  </si>
  <si>
    <t>Program details</t>
  </si>
  <si>
    <t>Perceived value of rewards as % of members' spend</t>
  </si>
  <si>
    <t>Customer counts</t>
  </si>
  <si>
    <t>%</t>
  </si>
  <si>
    <r>
      <rPr>
        <i/>
        <sz val="11"/>
        <color rgb="FF000000"/>
        <rFont val="Calibri"/>
        <family val="2"/>
        <scheme val="minor"/>
      </rPr>
      <t xml:space="preserve">Calculation of active members </t>
    </r>
    <r>
      <rPr>
        <sz val="11"/>
        <color rgb="FF000000"/>
        <rFont val="Segoe UI Symbol"/>
        <family val="2"/>
      </rPr>
      <t>▾</t>
    </r>
  </si>
  <si>
    <t>Churn rate (gross, before replacement)</t>
  </si>
  <si>
    <t>Improvement from baseline (percentage points)</t>
  </si>
  <si>
    <t>Base member count</t>
  </si>
  <si>
    <t>Year 1 churn improvement</t>
  </si>
  <si>
    <t>Year 2 churn improvement</t>
  </si>
  <si>
    <t>Year 3 churn improvement</t>
  </si>
  <si>
    <t>Year 4 churn improvement</t>
  </si>
  <si>
    <t>Total (Loyalty &amp; Non-Loyalty)</t>
  </si>
  <si>
    <t>Loyalty only</t>
  </si>
  <si>
    <t>Loyalty KPIs</t>
  </si>
  <si>
    <t>Growth</t>
  </si>
  <si>
    <t>Rewards earned per member (perceived value)</t>
  </si>
  <si>
    <t>Rewards earned per member (cost)</t>
  </si>
  <si>
    <t>Incremental with new program ▼</t>
  </si>
  <si>
    <t>Break-even  ▼</t>
  </si>
  <si>
    <t>Cumulative</t>
  </si>
  <si>
    <t>B/E period (in months)</t>
  </si>
  <si>
    <t>Guideline values by vertical</t>
  </si>
  <si>
    <t>% sales penetration</t>
  </si>
  <si>
    <t>Program payout</t>
  </si>
  <si>
    <t>Speciality retail</t>
  </si>
  <si>
    <t>30%-70%</t>
  </si>
  <si>
    <t>50%-150%</t>
  </si>
  <si>
    <t>5-10%</t>
  </si>
  <si>
    <t>Restaurant / QSR</t>
  </si>
  <si>
    <t>25%-45%</t>
  </si>
  <si>
    <t>30-100%</t>
  </si>
  <si>
    <t>5-12%</t>
  </si>
  <si>
    <t>Hotel</t>
  </si>
  <si>
    <t>40-60%</t>
  </si>
  <si>
    <t>30-80%</t>
  </si>
  <si>
    <t>3-10%</t>
  </si>
  <si>
    <t>B2B</t>
  </si>
  <si>
    <t>60-85%</t>
  </si>
  <si>
    <t>20-30%</t>
  </si>
  <si>
    <t>Varies</t>
  </si>
  <si>
    <t>info@kognitiv.com</t>
  </si>
  <si>
    <t>https://www.kognitiv.com/</t>
  </si>
  <si>
    <t>https://www.linkedin.com/company/kognitiv-corporation/</t>
  </si>
  <si>
    <t>© 2024 Kognitiv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</si>
</sst>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quot;$&quot;#,##0"/>
    <numFmt numFmtId="165" formatCode="_-&quot;$&quot;* #,##0.00_-;\-&quot;$&quot;* #,##0.00_-;_-&quot;$&quot;* &quot;-&quot;??_-;_-@_-"/>
    <numFmt numFmtId="166" formatCode="_-#,##0_)_-;_-\(#,##0\)_-;_-&quot;-&quot;??_)_-;_-@_)_-"/>
    <numFmt numFmtId="167" formatCode="_-&quot;$&quot;* #,##0&quot;/yr&quot;_-;\-&quot;$&quot;* #,##0_-;_-&quot;$&quot;* &quot;-&quot;??_-;_-@_-"/>
    <numFmt numFmtId="168" formatCode="0.0%"/>
    <numFmt numFmtId="169" formatCode="_-&quot;$&quot;* #,##0_-;\-&quot;$&quot;* #,##0_-;_-&quot;$&quot;* &quot;-&quot;??_-;_-@_-"/>
    <numFmt numFmtId="170" formatCode="&quot;$&quot;#,##0"/>
    <numFmt numFmtId="171" formatCode="&quot;Year &quot;#"/>
    <numFmt numFmtId="172" formatCode="_-* #,##0_-;\-* #,##0_-;_-* &quot;-&quot;??_-;_-@_-"/>
    <numFmt numFmtId="173" formatCode="&quot;Year &quot;#_)_-"/>
    <numFmt numFmtId="174" formatCode="_-&quot;$&quot;\ #,##0_)_-;_-\(&quot;$&quot;\ #,##0\)_-;_-&quot;$&quot;\ &quot;0&quot;??_)_-;_-@_)_-"/>
    <numFmt numFmtId="175" formatCode="_-&quot;$&quot;* #,##0_)_-;_-&quot;$&quot;* \(#,##0\)_-;_-&quot;$&quot;* &quot;-&quot;??_)_-;_-@_)_-"/>
    <numFmt numFmtId="176" formatCode="#&quot; mths&quot;"/>
    <numFmt numFmtId="177" formatCode="#,##0_ ;\-#,##0\ "/>
    <numFmt numFmtId="178" formatCode="_-* #,##0.0_-;\-* #,##0.0_-;_-* &quot;-&quot;??_-;_-@_-"/>
  </numFmts>
  <fonts count="4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rgb="FF151D44"/>
      <name val="Calibri"/>
      <family val="2"/>
      <scheme val="minor"/>
    </font>
    <font>
      <b/>
      <sz val="16"/>
      <color theme="1"/>
      <name val="Calibri"/>
      <family val="2"/>
      <scheme val="minor"/>
    </font>
    <font>
      <u/>
      <sz val="11"/>
      <color theme="1"/>
      <name val="Calibri"/>
      <family val="2"/>
      <scheme val="minor"/>
    </font>
    <font>
      <sz val="11"/>
      <name val="Calibri"/>
      <family val="2"/>
      <scheme val="minor"/>
    </font>
    <font>
      <sz val="11"/>
      <name val="Segoe UI Symbol"/>
      <family val="2"/>
    </font>
    <font>
      <sz val="11"/>
      <name val="Calibri"/>
      <family val="2"/>
    </font>
    <font>
      <b/>
      <sz val="11"/>
      <name val="Calibri"/>
      <family val="2"/>
    </font>
    <font>
      <u/>
      <sz val="11"/>
      <name val="Calibri"/>
      <family val="2"/>
      <scheme val="minor"/>
    </font>
    <font>
      <sz val="11"/>
      <color theme="0" tint="-0.14999847407452621"/>
      <name val="Calibri"/>
      <family val="2"/>
      <scheme val="minor"/>
    </font>
    <font>
      <b/>
      <sz val="11"/>
      <name val="Calibri"/>
      <family val="2"/>
      <scheme val="minor"/>
    </font>
    <font>
      <sz val="5"/>
      <color theme="1"/>
      <name val="Calibri"/>
      <family val="2"/>
      <scheme val="minor"/>
    </font>
    <font>
      <sz val="11"/>
      <color theme="4"/>
      <name val="Calibri"/>
      <family val="2"/>
      <scheme val="minor"/>
    </font>
    <font>
      <i/>
      <sz val="11"/>
      <color theme="1"/>
      <name val="Calibri"/>
      <family val="2"/>
      <scheme val="minor"/>
    </font>
    <font>
      <sz val="10"/>
      <color theme="0" tint="-0.14999847407452621"/>
      <name val="Calibri"/>
      <family val="2"/>
      <scheme val="minor"/>
    </font>
    <font>
      <sz val="18"/>
      <color rgb="FFFFFFFF"/>
      <name val="Calibri"/>
      <family val="2"/>
      <scheme val="minor"/>
    </font>
    <font>
      <b/>
      <i/>
      <sz val="11"/>
      <color theme="0"/>
      <name val="Calibri"/>
      <family val="2"/>
      <scheme val="minor"/>
    </font>
    <font>
      <i/>
      <sz val="11"/>
      <color theme="0"/>
      <name val="Calibri"/>
      <family val="2"/>
      <scheme val="minor"/>
    </font>
    <font>
      <i/>
      <u/>
      <sz val="11"/>
      <color theme="1"/>
      <name val="Calibri"/>
      <family val="2"/>
      <scheme val="minor"/>
    </font>
    <font>
      <b/>
      <u/>
      <sz val="11"/>
      <name val="Calibri"/>
      <family val="2"/>
      <scheme val="minor"/>
    </font>
    <font>
      <i/>
      <sz val="11"/>
      <name val="Calibri"/>
      <family val="2"/>
      <scheme val="minor"/>
    </font>
    <font>
      <sz val="6.3"/>
      <name val="Calibri"/>
      <family val="2"/>
    </font>
    <font>
      <sz val="9"/>
      <name val="Calibri"/>
      <family val="2"/>
      <scheme val="minor"/>
    </font>
    <font>
      <b/>
      <i/>
      <sz val="11"/>
      <name val="Calibri"/>
      <family val="2"/>
      <scheme val="minor"/>
    </font>
    <font>
      <i/>
      <u/>
      <sz val="11"/>
      <name val="Calibri"/>
      <family val="2"/>
      <scheme val="minor"/>
    </font>
    <font>
      <u/>
      <sz val="11"/>
      <color theme="0"/>
      <name val="Calibri"/>
      <family val="2"/>
      <scheme val="minor"/>
    </font>
    <font>
      <sz val="11"/>
      <color theme="0" tint="-0.249977111117893"/>
      <name val="Calibri"/>
      <family val="2"/>
      <scheme val="minor"/>
    </font>
    <font>
      <i/>
      <sz val="11"/>
      <color theme="0" tint="-0.249977111117893"/>
      <name val="Calibri"/>
      <family val="2"/>
      <scheme val="minor"/>
    </font>
    <font>
      <b/>
      <sz val="11"/>
      <color theme="0" tint="-0.249977111117893"/>
      <name val="Calibri"/>
      <family val="2"/>
      <scheme val="minor"/>
    </font>
    <font>
      <sz val="9"/>
      <color theme="1"/>
      <name val="Calibri"/>
      <family val="2"/>
      <scheme val="minor"/>
    </font>
    <font>
      <b/>
      <sz val="11"/>
      <color rgb="FF151D44"/>
      <name val="Calibri"/>
      <family val="2"/>
      <scheme val="minor"/>
    </font>
    <font>
      <u/>
      <sz val="11"/>
      <color theme="4" tint="0.79998168889431442"/>
      <name val="Calibri"/>
      <family val="2"/>
      <scheme val="minor"/>
    </font>
    <font>
      <i/>
      <sz val="11"/>
      <color rgb="FF000000"/>
      <name val="Calibri"/>
      <family val="2"/>
      <scheme val="minor"/>
    </font>
    <font>
      <sz val="11"/>
      <color rgb="FF000000"/>
      <name val="Segoe UI Symbol"/>
      <family val="2"/>
    </font>
    <font>
      <u/>
      <sz val="11"/>
      <color rgb="FF151D44"/>
      <name val="Calibri"/>
      <family val="2"/>
      <scheme val="minor"/>
    </font>
    <font>
      <sz val="11"/>
      <color rgb="FF000000"/>
      <name val="Calibri"/>
    </font>
    <font>
      <b/>
      <sz val="11"/>
      <color rgb="FF000000"/>
      <name val="Calibri"/>
    </font>
    <font>
      <b/>
      <u/>
      <sz val="11"/>
      <color rgb="FFFFFFFF"/>
      <name val="Calibri"/>
      <scheme val="minor"/>
    </font>
  </fonts>
  <fills count="11">
    <fill>
      <patternFill patternType="none"/>
    </fill>
    <fill>
      <patternFill patternType="gray125"/>
    </fill>
    <fill>
      <patternFill patternType="solid">
        <fgColor rgb="FF151D44"/>
        <bgColor indexed="64"/>
      </patternFill>
    </fill>
    <fill>
      <patternFill patternType="solid">
        <fgColor rgb="FF22DBD1"/>
        <bgColor indexed="64"/>
      </patternFill>
    </fill>
    <fill>
      <patternFill patternType="solid">
        <fgColor theme="7" tint="0.79998168889431442"/>
        <bgColor indexed="64"/>
      </patternFill>
    </fill>
    <fill>
      <patternFill patternType="solid">
        <fgColor theme="0"/>
        <bgColor indexed="64"/>
      </patternFill>
    </fill>
    <fill>
      <patternFill patternType="solid">
        <fgColor theme="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EA421A"/>
        <bgColor indexed="64"/>
      </patternFill>
    </fill>
  </fills>
  <borders count="25">
    <border>
      <left/>
      <right/>
      <top/>
      <bottom/>
      <diagonal/>
    </border>
    <border>
      <left style="dotted">
        <color auto="1"/>
      </left>
      <right style="dotted">
        <color auto="1"/>
      </right>
      <top style="dotted">
        <color auto="1"/>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diagonal/>
    </border>
    <border>
      <left/>
      <right style="thin">
        <color indexed="64"/>
      </right>
      <top/>
      <bottom/>
      <diagonal/>
    </border>
    <border>
      <left/>
      <right/>
      <top style="hair">
        <color auto="1"/>
      </top>
      <bottom style="hair">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style="thick">
        <color rgb="FF22DBD1"/>
      </left>
      <right style="thick">
        <color rgb="FF22DBD1"/>
      </right>
      <top style="thick">
        <color rgb="FF22DBD1"/>
      </top>
      <bottom style="thick">
        <color rgb="FF22DBD1"/>
      </bottom>
      <diagonal/>
    </border>
    <border>
      <left/>
      <right/>
      <top style="thin">
        <color rgb="FF151D44"/>
      </top>
      <bottom/>
      <diagonal/>
    </border>
    <border>
      <left/>
      <right/>
      <top/>
      <bottom style="hair">
        <color theme="0" tint="-0.24994659260841701"/>
      </bottom>
      <diagonal/>
    </border>
  </borders>
  <cellStyleXfs count="5">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227">
    <xf numFmtId="0" fontId="0" fillId="0" borderId="0" xfId="0"/>
    <xf numFmtId="0" fontId="0" fillId="2" borderId="0" xfId="0" applyFill="1" applyAlignment="1">
      <alignment wrapText="1"/>
    </xf>
    <xf numFmtId="0" fontId="7" fillId="2" borderId="0" xfId="0" applyFont="1" applyFill="1" applyAlignment="1">
      <alignment vertical="center"/>
    </xf>
    <xf numFmtId="0" fontId="0" fillId="0" borderId="0" xfId="0" applyAlignment="1">
      <alignment wrapText="1"/>
    </xf>
    <xf numFmtId="0" fontId="4" fillId="0" borderId="0" xfId="0" applyFont="1" applyAlignment="1">
      <alignment wrapText="1"/>
    </xf>
    <xf numFmtId="0" fontId="8" fillId="0" borderId="0" xfId="0" applyFont="1" applyAlignment="1">
      <alignment wrapText="1"/>
    </xf>
    <xf numFmtId="0" fontId="2" fillId="3" borderId="0" xfId="0" applyFont="1" applyFill="1" applyAlignment="1">
      <alignment wrapText="1"/>
    </xf>
    <xf numFmtId="0" fontId="0" fillId="0" borderId="0" xfId="0" applyAlignment="1">
      <alignment vertical="top" wrapText="1"/>
    </xf>
    <xf numFmtId="0" fontId="4" fillId="0" borderId="0" xfId="0" applyFont="1"/>
    <xf numFmtId="0" fontId="4" fillId="0" borderId="0" xfId="0" applyFont="1" applyAlignment="1">
      <alignment horizontal="left" indent="2"/>
    </xf>
    <xf numFmtId="0" fontId="9" fillId="0" borderId="0" xfId="0" applyFont="1" applyAlignment="1">
      <alignment horizontal="left"/>
    </xf>
    <xf numFmtId="0" fontId="0" fillId="0" borderId="0" xfId="0" applyAlignment="1">
      <alignment horizontal="left" indent="1"/>
    </xf>
    <xf numFmtId="0" fontId="0" fillId="0" borderId="0" xfId="0" applyAlignment="1">
      <alignment horizontal="left" indent="3"/>
    </xf>
    <xf numFmtId="0" fontId="0" fillId="0" borderId="0" xfId="0" applyAlignment="1">
      <alignment horizontal="left"/>
    </xf>
    <xf numFmtId="0" fontId="0" fillId="0" borderId="0" xfId="0" applyAlignment="1">
      <alignment vertical="center" wrapText="1"/>
    </xf>
    <xf numFmtId="0" fontId="10" fillId="0" borderId="0" xfId="0" applyFont="1" applyAlignment="1">
      <alignment horizontal="left" wrapText="1" indent="1"/>
    </xf>
    <xf numFmtId="0" fontId="12" fillId="0" borderId="0" xfId="0" applyFont="1" applyAlignment="1">
      <alignment horizontal="left" wrapText="1" indent="1"/>
    </xf>
    <xf numFmtId="0" fontId="12" fillId="0" borderId="0" xfId="0" applyFont="1" applyAlignment="1">
      <alignment horizontal="left" vertical="top" wrapText="1" indent="1"/>
    </xf>
    <xf numFmtId="0" fontId="0" fillId="0" borderId="0" xfId="0" applyAlignment="1">
      <alignment horizontal="left" indent="2"/>
    </xf>
    <xf numFmtId="0" fontId="10" fillId="0" borderId="0" xfId="4" applyFont="1" applyAlignment="1">
      <alignment wrapText="1"/>
    </xf>
    <xf numFmtId="0" fontId="14" fillId="0" borderId="0" xfId="4" applyFont="1" applyAlignment="1">
      <alignment wrapText="1"/>
    </xf>
    <xf numFmtId="0" fontId="15" fillId="0" borderId="0" xfId="0" applyFont="1" applyAlignment="1">
      <alignment wrapText="1"/>
    </xf>
    <xf numFmtId="0" fontId="0" fillId="0" borderId="0" xfId="0" applyAlignment="1">
      <alignment horizontal="left" wrapText="1"/>
    </xf>
    <xf numFmtId="0" fontId="0" fillId="0" borderId="0" xfId="0" applyAlignment="1">
      <alignment horizontal="left" wrapText="1" indent="1"/>
    </xf>
    <xf numFmtId="0" fontId="16" fillId="0" borderId="0" xfId="0" applyFont="1" applyAlignment="1">
      <alignment wrapText="1"/>
    </xf>
    <xf numFmtId="0" fontId="17" fillId="0" borderId="0" xfId="0" applyFont="1" applyAlignment="1">
      <alignment wrapText="1"/>
    </xf>
    <xf numFmtId="0" fontId="18" fillId="4" borderId="0" xfId="0" applyFont="1" applyFill="1" applyAlignment="1">
      <alignment horizontal="center" wrapText="1"/>
    </xf>
    <xf numFmtId="0" fontId="0" fillId="0" borderId="1" xfId="0" applyBorder="1" applyAlignment="1">
      <alignment horizontal="center" wrapText="1"/>
    </xf>
    <xf numFmtId="0" fontId="0" fillId="0" borderId="0" xfId="0" applyAlignment="1">
      <alignment horizontal="center" wrapText="1"/>
    </xf>
    <xf numFmtId="0" fontId="20" fillId="0" borderId="0" xfId="0" applyFont="1" applyAlignment="1">
      <alignment horizontal="left" vertical="center" readingOrder="1"/>
    </xf>
    <xf numFmtId="0" fontId="0" fillId="2" borderId="0" xfId="0" applyFill="1" applyAlignment="1">
      <alignment vertical="center"/>
    </xf>
    <xf numFmtId="0" fontId="2" fillId="2" borderId="0" xfId="0" applyFont="1" applyFill="1" applyAlignment="1">
      <alignment vertical="center"/>
    </xf>
    <xf numFmtId="0" fontId="6" fillId="5" borderId="0" xfId="4" applyFill="1" applyAlignment="1">
      <alignment horizontal="center" vertical="center"/>
    </xf>
    <xf numFmtId="0" fontId="10"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0" fillId="0" borderId="0" xfId="0" applyAlignment="1">
      <alignment vertical="center"/>
    </xf>
    <xf numFmtId="0" fontId="0" fillId="2" borderId="0" xfId="0" applyFill="1"/>
    <xf numFmtId="0" fontId="10" fillId="2" borderId="0" xfId="0" applyFont="1" applyFill="1" applyProtection="1">
      <protection locked="0"/>
    </xf>
    <xf numFmtId="0" fontId="0" fillId="2" borderId="0" xfId="0" applyFill="1" applyProtection="1">
      <protection locked="0"/>
    </xf>
    <xf numFmtId="0" fontId="21" fillId="0" borderId="0" xfId="0" applyFont="1" applyAlignment="1">
      <alignment horizontal="left" vertical="center" readingOrder="1"/>
    </xf>
    <xf numFmtId="0" fontId="10" fillId="0" borderId="0" xfId="0" applyFont="1" applyProtection="1">
      <protection locked="0"/>
    </xf>
    <xf numFmtId="0" fontId="0" fillId="0" borderId="0" xfId="0" applyProtection="1">
      <protection locked="0"/>
    </xf>
    <xf numFmtId="0" fontId="8" fillId="0" borderId="0" xfId="0" applyFont="1"/>
    <xf numFmtId="0" fontId="0" fillId="4" borderId="0" xfId="0" applyFill="1"/>
    <xf numFmtId="0" fontId="2" fillId="2" borderId="2" xfId="0" applyFont="1" applyFill="1" applyBorder="1"/>
    <xf numFmtId="0" fontId="5" fillId="2" borderId="3" xfId="0" applyFont="1" applyFill="1" applyBorder="1"/>
    <xf numFmtId="0" fontId="5" fillId="2" borderId="4" xfId="0" applyFont="1" applyFill="1" applyBorder="1"/>
    <xf numFmtId="0" fontId="0" fillId="2" borderId="3" xfId="0" applyFill="1" applyBorder="1"/>
    <xf numFmtId="0" fontId="0" fillId="2" borderId="4" xfId="0" applyFill="1" applyBorder="1"/>
    <xf numFmtId="0" fontId="22" fillId="2" borderId="0" xfId="0" applyFont="1" applyFill="1"/>
    <xf numFmtId="0" fontId="5" fillId="2" borderId="0" xfId="0" applyFont="1" applyFill="1"/>
    <xf numFmtId="0" fontId="23" fillId="6" borderId="0" xfId="0" applyFont="1" applyFill="1"/>
    <xf numFmtId="0" fontId="5" fillId="6" borderId="0" xfId="0" applyFont="1" applyFill="1"/>
    <xf numFmtId="0" fontId="0" fillId="6" borderId="0" xfId="0" applyFill="1"/>
    <xf numFmtId="167" fontId="18" fillId="4" borderId="0" xfId="2" applyNumberFormat="1" applyFont="1" applyFill="1" applyBorder="1" applyProtection="1">
      <protection locked="0"/>
    </xf>
    <xf numFmtId="9" fontId="18" fillId="4" borderId="0" xfId="0" applyNumberFormat="1" applyFont="1" applyFill="1" applyProtection="1">
      <protection locked="0"/>
    </xf>
    <xf numFmtId="168" fontId="18" fillId="4" borderId="0" xfId="0" applyNumberFormat="1" applyFont="1" applyFill="1" applyProtection="1">
      <protection locked="0"/>
    </xf>
    <xf numFmtId="0" fontId="19" fillId="0" borderId="5" xfId="0" applyFont="1" applyBorder="1" applyAlignment="1">
      <alignment horizontal="left" indent="1"/>
    </xf>
    <xf numFmtId="0" fontId="0" fillId="0" borderId="6" xfId="0" applyBorder="1"/>
    <xf numFmtId="0" fontId="0" fillId="0" borderId="7" xfId="0" applyBorder="1"/>
    <xf numFmtId="0" fontId="0" fillId="0" borderId="8" xfId="0" applyBorder="1" applyAlignment="1">
      <alignment horizontal="left" indent="1"/>
    </xf>
    <xf numFmtId="9" fontId="18" fillId="4" borderId="0" xfId="3" applyFont="1" applyFill="1" applyBorder="1" applyAlignment="1" applyProtection="1">
      <alignment horizontal="right"/>
      <protection locked="0"/>
    </xf>
    <xf numFmtId="0" fontId="19" fillId="0" borderId="0" xfId="0" applyFont="1"/>
    <xf numFmtId="0" fontId="0" fillId="0" borderId="9" xfId="0" applyBorder="1"/>
    <xf numFmtId="9" fontId="0" fillId="0" borderId="0" xfId="3" applyFont="1" applyBorder="1" applyAlignment="1">
      <alignment horizontal="right"/>
    </xf>
    <xf numFmtId="0" fontId="0" fillId="0" borderId="10" xfId="0" applyBorder="1" applyAlignment="1">
      <alignment horizontal="left" vertical="top" indent="1"/>
    </xf>
    <xf numFmtId="9" fontId="0" fillId="0" borderId="11" xfId="3" applyFont="1" applyBorder="1" applyAlignment="1">
      <alignment horizontal="right" vertical="top"/>
    </xf>
    <xf numFmtId="0" fontId="0" fillId="0" borderId="11" xfId="0" applyBorder="1"/>
    <xf numFmtId="0" fontId="0" fillId="0" borderId="12" xfId="0" applyBorder="1"/>
    <xf numFmtId="169" fontId="18" fillId="4" borderId="0" xfId="2" applyNumberFormat="1" applyFont="1" applyFill="1" applyBorder="1" applyProtection="1">
      <protection locked="0"/>
    </xf>
    <xf numFmtId="0" fontId="3" fillId="0" borderId="0" xfId="0" applyFont="1"/>
    <xf numFmtId="0" fontId="0" fillId="0" borderId="0" xfId="0" applyAlignment="1">
      <alignment vertical="top"/>
    </xf>
    <xf numFmtId="0" fontId="0" fillId="0" borderId="0" xfId="0" applyAlignment="1">
      <alignment horizontal="left" vertical="top" indent="1"/>
    </xf>
    <xf numFmtId="9" fontId="0" fillId="0" borderId="0" xfId="3" applyFont="1" applyBorder="1" applyAlignment="1">
      <alignment horizontal="right" vertical="top"/>
    </xf>
    <xf numFmtId="0" fontId="0" fillId="0" borderId="0" xfId="0" applyAlignment="1" applyProtection="1">
      <alignment vertical="top"/>
      <protection locked="0"/>
    </xf>
    <xf numFmtId="0" fontId="9" fillId="0" borderId="0" xfId="0" applyFont="1" applyAlignment="1">
      <alignment horizontal="center"/>
    </xf>
    <xf numFmtId="0" fontId="24" fillId="0" borderId="0" xfId="0" applyFont="1" applyAlignment="1">
      <alignment horizontal="right"/>
    </xf>
    <xf numFmtId="170" fontId="0" fillId="0" borderId="0" xfId="0" applyNumberFormat="1"/>
    <xf numFmtId="0" fontId="19" fillId="0" borderId="0" xfId="0" applyFont="1" applyAlignment="1">
      <alignment horizontal="left" indent="1"/>
    </xf>
    <xf numFmtId="168" fontId="18" fillId="0" borderId="0" xfId="0" applyNumberFormat="1" applyFont="1"/>
    <xf numFmtId="0" fontId="0" fillId="0" borderId="11" xfId="0" applyBorder="1" applyAlignment="1">
      <alignment vertical="top"/>
    </xf>
    <xf numFmtId="0" fontId="0" fillId="0" borderId="12" xfId="0" applyBorder="1" applyAlignment="1">
      <alignment vertical="top"/>
    </xf>
    <xf numFmtId="0" fontId="0" fillId="2" borderId="2" xfId="0" applyFill="1" applyBorder="1"/>
    <xf numFmtId="0" fontId="2" fillId="2" borderId="3" xfId="0" applyFont="1" applyFill="1" applyBorder="1"/>
    <xf numFmtId="0" fontId="0" fillId="2" borderId="13" xfId="0" applyFill="1" applyBorder="1"/>
    <xf numFmtId="0" fontId="0" fillId="2" borderId="14" xfId="0" applyFill="1" applyBorder="1"/>
    <xf numFmtId="0" fontId="10" fillId="7" borderId="13" xfId="0" applyFont="1" applyFill="1" applyBorder="1"/>
    <xf numFmtId="0" fontId="4" fillId="7" borderId="0" xfId="0" applyFont="1" applyFill="1"/>
    <xf numFmtId="0" fontId="10" fillId="7" borderId="0" xfId="0" applyFont="1" applyFill="1"/>
    <xf numFmtId="171" fontId="10" fillId="7" borderId="0" xfId="0" applyNumberFormat="1" applyFont="1" applyFill="1"/>
    <xf numFmtId="0" fontId="10" fillId="7" borderId="14" xfId="0" applyFont="1" applyFill="1" applyBorder="1"/>
    <xf numFmtId="0" fontId="10" fillId="0" borderId="0" xfId="0" applyFont="1"/>
    <xf numFmtId="0" fontId="0" fillId="0" borderId="13" xfId="0" applyBorder="1"/>
    <xf numFmtId="172" fontId="18" fillId="4" borderId="0" xfId="1" applyNumberFormat="1" applyFont="1" applyFill="1" applyBorder="1" applyProtection="1">
      <protection locked="0"/>
    </xf>
    <xf numFmtId="0" fontId="0" fillId="0" borderId="14" xfId="0" applyBorder="1"/>
    <xf numFmtId="0" fontId="10" fillId="0" borderId="13" xfId="0" applyFont="1" applyBorder="1"/>
    <xf numFmtId="0" fontId="16" fillId="0" borderId="0" xfId="0" applyFont="1"/>
    <xf numFmtId="173" fontId="25" fillId="0" borderId="0" xfId="0" applyNumberFormat="1" applyFont="1" applyAlignment="1">
      <alignment horizontal="right"/>
    </xf>
    <xf numFmtId="174" fontId="25" fillId="0" borderId="0" xfId="0" applyNumberFormat="1" applyFont="1" applyAlignment="1">
      <alignment horizontal="right"/>
    </xf>
    <xf numFmtId="0" fontId="10" fillId="0" borderId="14" xfId="0" applyFont="1" applyBorder="1"/>
    <xf numFmtId="0" fontId="16" fillId="7" borderId="0" xfId="0" applyFont="1" applyFill="1"/>
    <xf numFmtId="0" fontId="7" fillId="7" borderId="0" xfId="0" applyFont="1" applyFill="1"/>
    <xf numFmtId="175" fontId="10" fillId="0" borderId="0" xfId="0" applyNumberFormat="1" applyFont="1"/>
    <xf numFmtId="175" fontId="16" fillId="0" borderId="0" xfId="0" applyNumberFormat="1" applyFont="1"/>
    <xf numFmtId="0" fontId="26" fillId="0" borderId="0" xfId="0" applyFont="1"/>
    <xf numFmtId="0" fontId="0" fillId="0" borderId="15" xfId="0" applyBorder="1"/>
    <xf numFmtId="175" fontId="0" fillId="0" borderId="15" xfId="0" applyNumberFormat="1" applyBorder="1"/>
    <xf numFmtId="175" fontId="4" fillId="0" borderId="15" xfId="0" applyNumberFormat="1" applyFont="1" applyBorder="1"/>
    <xf numFmtId="175" fontId="0" fillId="0" borderId="0" xfId="0" applyNumberFormat="1"/>
    <xf numFmtId="175" fontId="4" fillId="0" borderId="0" xfId="0" applyNumberFormat="1" applyFont="1"/>
    <xf numFmtId="0" fontId="9" fillId="0" borderId="0" xfId="0" applyFont="1" applyAlignment="1">
      <alignment horizontal="left" indent="2"/>
    </xf>
    <xf numFmtId="0" fontId="0" fillId="0" borderId="15" xfId="0" applyBorder="1" applyAlignment="1">
      <alignment horizontal="left" indent="2"/>
    </xf>
    <xf numFmtId="0" fontId="4" fillId="0" borderId="15" xfId="0" applyFont="1" applyBorder="1"/>
    <xf numFmtId="9" fontId="4" fillId="0" borderId="0" xfId="3" applyFont="1" applyBorder="1" applyAlignment="1">
      <alignment horizontal="left"/>
    </xf>
    <xf numFmtId="9" fontId="4" fillId="0" borderId="0" xfId="3" applyFont="1" applyBorder="1"/>
    <xf numFmtId="176" fontId="4" fillId="0" borderId="0" xfId="0" applyNumberFormat="1" applyFont="1" applyAlignment="1">
      <alignment horizontal="left"/>
    </xf>
    <xf numFmtId="171" fontId="10" fillId="0" borderId="0" xfId="0" applyNumberFormat="1" applyFont="1"/>
    <xf numFmtId="175" fontId="10" fillId="0" borderId="16" xfId="0" applyNumberFormat="1" applyFont="1" applyBorder="1"/>
    <xf numFmtId="0" fontId="0" fillId="0" borderId="16" xfId="0" applyBorder="1" applyAlignment="1">
      <alignment horizontal="left" indent="2"/>
    </xf>
    <xf numFmtId="0" fontId="26" fillId="0" borderId="16" xfId="0" applyFont="1" applyBorder="1"/>
    <xf numFmtId="0" fontId="10" fillId="0" borderId="16" xfId="0" applyFont="1" applyBorder="1"/>
    <xf numFmtId="9" fontId="10" fillId="0" borderId="16" xfId="0" applyNumberFormat="1" applyFont="1" applyBorder="1"/>
    <xf numFmtId="0" fontId="4" fillId="0" borderId="0" xfId="0" applyFont="1" applyAlignment="1">
      <alignment horizontal="left"/>
    </xf>
    <xf numFmtId="168" fontId="4" fillId="0" borderId="0" xfId="3" applyNumberFormat="1" applyFont="1" applyFill="1" applyBorder="1"/>
    <xf numFmtId="0" fontId="0" fillId="0" borderId="17" xfId="0" applyBorder="1"/>
    <xf numFmtId="0" fontId="0" fillId="0" borderId="16" xfId="0" applyBorder="1"/>
    <xf numFmtId="0" fontId="0" fillId="0" borderId="18" xfId="0" applyBorder="1"/>
    <xf numFmtId="0" fontId="14" fillId="8" borderId="0" xfId="4" applyFont="1" applyFill="1" applyBorder="1"/>
    <xf numFmtId="0" fontId="10" fillId="8" borderId="0" xfId="0" applyFont="1" applyFill="1"/>
    <xf numFmtId="0" fontId="0" fillId="8" borderId="0" xfId="0" applyFill="1"/>
    <xf numFmtId="0" fontId="0" fillId="8" borderId="14" xfId="0" applyFill="1" applyBorder="1"/>
    <xf numFmtId="164" fontId="0" fillId="0" borderId="0" xfId="2" applyNumberFormat="1" applyFont="1" applyBorder="1"/>
    <xf numFmtId="164" fontId="0" fillId="0" borderId="16" xfId="2" applyNumberFormat="1" applyFont="1" applyBorder="1"/>
    <xf numFmtId="0" fontId="26" fillId="7" borderId="0" xfId="0" applyFont="1" applyFill="1"/>
    <xf numFmtId="0" fontId="5" fillId="7" borderId="0" xfId="0" applyFont="1" applyFill="1"/>
    <xf numFmtId="0" fontId="0" fillId="7" borderId="0" xfId="0" applyFill="1"/>
    <xf numFmtId="9" fontId="18" fillId="4" borderId="0" xfId="3" applyFont="1" applyFill="1" applyBorder="1" applyProtection="1">
      <protection locked="0"/>
    </xf>
    <xf numFmtId="0" fontId="5" fillId="7" borderId="0" xfId="0" applyFont="1" applyFill="1" applyAlignment="1">
      <alignment horizontal="left" indent="2"/>
    </xf>
    <xf numFmtId="9" fontId="18" fillId="4" borderId="0" xfId="0" applyNumberFormat="1" applyFont="1" applyFill="1" applyAlignment="1" applyProtection="1">
      <alignment horizontal="right"/>
      <protection locked="0"/>
    </xf>
    <xf numFmtId="9" fontId="0" fillId="0" borderId="0" xfId="0" applyNumberFormat="1" applyAlignment="1">
      <alignment horizontal="center"/>
    </xf>
    <xf numFmtId="168" fontId="0" fillId="0" borderId="0" xfId="0" applyNumberFormat="1" applyAlignment="1">
      <alignment horizontal="right"/>
    </xf>
    <xf numFmtId="0" fontId="0" fillId="0" borderId="0" xfId="0" quotePrefix="1"/>
    <xf numFmtId="168" fontId="0" fillId="0" borderId="0" xfId="0" applyNumberFormat="1"/>
    <xf numFmtId="168" fontId="0" fillId="0" borderId="0" xfId="3" applyNumberFormat="1" applyFont="1" applyBorder="1"/>
    <xf numFmtId="177" fontId="18" fillId="4" borderId="0" xfId="1" applyNumberFormat="1" applyFont="1" applyFill="1" applyProtection="1">
      <protection locked="0"/>
    </xf>
    <xf numFmtId="9" fontId="0" fillId="0" borderId="0" xfId="0" applyNumberFormat="1"/>
    <xf numFmtId="9" fontId="0" fillId="0" borderId="0" xfId="3" applyFont="1" applyBorder="1"/>
    <xf numFmtId="9" fontId="0" fillId="0" borderId="0" xfId="3" applyFont="1"/>
    <xf numFmtId="0" fontId="15" fillId="0" borderId="0" xfId="0" applyFont="1" applyProtection="1">
      <protection locked="0"/>
    </xf>
    <xf numFmtId="0" fontId="2" fillId="3" borderId="0" xfId="0" applyFont="1" applyFill="1"/>
    <xf numFmtId="0" fontId="5" fillId="3" borderId="0" xfId="0" applyFont="1" applyFill="1"/>
    <xf numFmtId="0" fontId="31" fillId="3" borderId="0" xfId="4" applyFont="1" applyFill="1"/>
    <xf numFmtId="0" fontId="10" fillId="0" borderId="22" xfId="4" applyFont="1" applyBorder="1" applyAlignment="1">
      <alignment horizontal="center" vertical="center" wrapText="1"/>
    </xf>
    <xf numFmtId="0" fontId="0" fillId="0" borderId="23" xfId="0" applyBorder="1"/>
    <xf numFmtId="0" fontId="2" fillId="2" borderId="0" xfId="0" applyFont="1" applyFill="1"/>
    <xf numFmtId="0" fontId="5" fillId="2" borderId="0" xfId="0" applyFont="1" applyFill="1" applyAlignment="1">
      <alignment wrapText="1"/>
    </xf>
    <xf numFmtId="0" fontId="15" fillId="0" borderId="0" xfId="0" applyFont="1"/>
    <xf numFmtId="0" fontId="10" fillId="9" borderId="0" xfId="0" applyFont="1" applyFill="1"/>
    <xf numFmtId="173" fontId="25" fillId="9" borderId="0" xfId="0" applyNumberFormat="1" applyFont="1" applyFill="1" applyAlignment="1">
      <alignment horizontal="right"/>
    </xf>
    <xf numFmtId="174" fontId="25" fillId="9" borderId="0" xfId="0" applyNumberFormat="1" applyFont="1" applyFill="1" applyAlignment="1">
      <alignment horizontal="right"/>
    </xf>
    <xf numFmtId="166" fontId="10" fillId="0" borderId="0" xfId="0" applyNumberFormat="1" applyFont="1"/>
    <xf numFmtId="166" fontId="16" fillId="0" borderId="0" xfId="0" applyNumberFormat="1" applyFont="1"/>
    <xf numFmtId="0" fontId="14" fillId="0" borderId="0" xfId="0" applyFont="1"/>
    <xf numFmtId="168" fontId="10" fillId="0" borderId="0" xfId="3" applyNumberFormat="1" applyFont="1" applyProtection="1"/>
    <xf numFmtId="172" fontId="10" fillId="0" borderId="0" xfId="0" applyNumberFormat="1" applyFont="1"/>
    <xf numFmtId="172" fontId="15" fillId="0" borderId="0" xfId="1" applyNumberFormat="1" applyFont="1" applyProtection="1"/>
    <xf numFmtId="175" fontId="26" fillId="0" borderId="0" xfId="0" applyNumberFormat="1" applyFont="1"/>
    <xf numFmtId="0" fontId="10" fillId="0" borderId="0" xfId="0" applyFont="1" applyAlignment="1">
      <alignment horizontal="left" indent="2"/>
    </xf>
    <xf numFmtId="0" fontId="10" fillId="0" borderId="19" xfId="0" applyFont="1" applyBorder="1" applyAlignment="1">
      <alignment horizontal="left" indent="2"/>
    </xf>
    <xf numFmtId="175" fontId="10" fillId="0" borderId="19" xfId="0" applyNumberFormat="1" applyFont="1" applyBorder="1"/>
    <xf numFmtId="175" fontId="16" fillId="0" borderId="19" xfId="0" applyNumberFormat="1" applyFont="1" applyBorder="1"/>
    <xf numFmtId="0" fontId="10" fillId="0" borderId="20" xfId="0" applyFont="1" applyBorder="1" applyAlignment="1">
      <alignment horizontal="left" indent="1"/>
    </xf>
    <xf numFmtId="175" fontId="10" fillId="0" borderId="20" xfId="0" applyNumberFormat="1" applyFont="1" applyBorder="1"/>
    <xf numFmtId="175" fontId="16" fillId="0" borderId="20" xfId="0" applyNumberFormat="1" applyFont="1" applyBorder="1"/>
    <xf numFmtId="9" fontId="10" fillId="0" borderId="0" xfId="3" applyFont="1" applyProtection="1"/>
    <xf numFmtId="9" fontId="16" fillId="0" borderId="0" xfId="3" applyFont="1" applyProtection="1"/>
    <xf numFmtId="175" fontId="10" fillId="9" borderId="0" xfId="0" applyNumberFormat="1" applyFont="1" applyFill="1"/>
    <xf numFmtId="0" fontId="10" fillId="0" borderId="0" xfId="0" applyFont="1" applyAlignment="1">
      <alignment horizontal="left" indent="1"/>
    </xf>
    <xf numFmtId="175" fontId="16" fillId="9" borderId="0" xfId="0" applyNumberFormat="1" applyFont="1" applyFill="1"/>
    <xf numFmtId="172" fontId="10" fillId="0" borderId="0" xfId="1" applyNumberFormat="1" applyFont="1" applyProtection="1"/>
    <xf numFmtId="9" fontId="10" fillId="0" borderId="16" xfId="3" applyFont="1" applyBorder="1" applyProtection="1"/>
    <xf numFmtId="172" fontId="10" fillId="0" borderId="16" xfId="1" applyNumberFormat="1" applyFont="1" applyBorder="1" applyProtection="1"/>
    <xf numFmtId="172" fontId="10" fillId="0" borderId="0" xfId="3" applyNumberFormat="1" applyFont="1" applyProtection="1"/>
    <xf numFmtId="0" fontId="10" fillId="0" borderId="21" xfId="0" applyFont="1" applyBorder="1" applyAlignment="1">
      <alignment horizontal="left" indent="1"/>
    </xf>
    <xf numFmtId="175" fontId="10" fillId="0" borderId="15" xfId="0" applyNumberFormat="1" applyFont="1" applyBorder="1"/>
    <xf numFmtId="175" fontId="16" fillId="0" borderId="15" xfId="0" applyNumberFormat="1" applyFont="1" applyBorder="1"/>
    <xf numFmtId="0" fontId="10" fillId="0" borderId="20" xfId="0" applyFont="1" applyBorder="1"/>
    <xf numFmtId="169" fontId="10" fillId="0" borderId="0" xfId="0" applyNumberFormat="1" applyFont="1"/>
    <xf numFmtId="168" fontId="16" fillId="0" borderId="0" xfId="3" applyNumberFormat="1" applyFont="1" applyProtection="1"/>
    <xf numFmtId="168" fontId="10" fillId="0" borderId="15" xfId="3" applyNumberFormat="1" applyFont="1" applyBorder="1" applyProtection="1"/>
    <xf numFmtId="168" fontId="16" fillId="0" borderId="15" xfId="3" applyNumberFormat="1" applyFont="1" applyBorder="1" applyProtection="1"/>
    <xf numFmtId="168" fontId="10" fillId="0" borderId="20" xfId="3" applyNumberFormat="1" applyFont="1" applyBorder="1" applyProtection="1"/>
    <xf numFmtId="168" fontId="16" fillId="0" borderId="20" xfId="3" applyNumberFormat="1" applyFont="1" applyBorder="1" applyProtection="1"/>
    <xf numFmtId="178" fontId="10" fillId="0" borderId="0" xfId="1" applyNumberFormat="1" applyFont="1" applyAlignment="1" applyProtection="1">
      <alignment horizontal="left"/>
    </xf>
    <xf numFmtId="178" fontId="10" fillId="0" borderId="0" xfId="1" applyNumberFormat="1" applyFont="1" applyFill="1" applyBorder="1" applyAlignment="1" applyProtection="1">
      <alignment horizontal="left"/>
    </xf>
    <xf numFmtId="0" fontId="29" fillId="0" borderId="5" xfId="0" applyFont="1" applyBorder="1"/>
    <xf numFmtId="0" fontId="10" fillId="0" borderId="6" xfId="0" applyFont="1" applyBorder="1"/>
    <xf numFmtId="0" fontId="10" fillId="0" borderId="7" xfId="0" applyFont="1" applyBorder="1"/>
    <xf numFmtId="0" fontId="26" fillId="0" borderId="8" xfId="0" applyFont="1" applyBorder="1" applyAlignment="1">
      <alignment horizontal="left" indent="1"/>
    </xf>
    <xf numFmtId="0" fontId="10" fillId="0" borderId="9" xfId="0" applyFont="1" applyBorder="1"/>
    <xf numFmtId="0" fontId="30" fillId="0" borderId="8" xfId="0" applyFont="1" applyBorder="1" applyAlignment="1">
      <alignment horizontal="left" indent="1"/>
    </xf>
    <xf numFmtId="0" fontId="30" fillId="0" borderId="0" xfId="0" applyFont="1"/>
    <xf numFmtId="0" fontId="10" fillId="0" borderId="0" xfId="0" quotePrefix="1" applyFont="1"/>
    <xf numFmtId="0" fontId="26" fillId="0" borderId="10" xfId="0" applyFont="1" applyBorder="1" applyAlignment="1">
      <alignment horizontal="left" indent="1"/>
    </xf>
    <xf numFmtId="0" fontId="10" fillId="0" borderId="11" xfId="0" applyFont="1" applyBorder="1"/>
    <xf numFmtId="0" fontId="10" fillId="0" borderId="12" xfId="0" applyFont="1" applyBorder="1"/>
    <xf numFmtId="0" fontId="32" fillId="0" borderId="0" xfId="0" applyFont="1"/>
    <xf numFmtId="175" fontId="32" fillId="0" borderId="0" xfId="0" applyNumberFormat="1" applyFont="1"/>
    <xf numFmtId="175" fontId="34" fillId="0" borderId="0" xfId="0" applyNumberFormat="1" applyFont="1"/>
    <xf numFmtId="0" fontId="32" fillId="0" borderId="0" xfId="0" applyFont="1" applyProtection="1">
      <protection locked="0"/>
    </xf>
    <xf numFmtId="0" fontId="33" fillId="0" borderId="0" xfId="0" applyFont="1" applyAlignment="1">
      <alignment horizontal="left" indent="2"/>
    </xf>
    <xf numFmtId="0" fontId="33" fillId="0" borderId="24" xfId="0" applyFont="1" applyBorder="1" applyAlignment="1">
      <alignment horizontal="left" indent="2"/>
    </xf>
    <xf numFmtId="9" fontId="32" fillId="0" borderId="24" xfId="3" applyFont="1" applyBorder="1" applyProtection="1"/>
    <xf numFmtId="0" fontId="35" fillId="0" borderId="0" xfId="0" applyFont="1" applyAlignment="1">
      <alignment wrapText="1"/>
    </xf>
    <xf numFmtId="0" fontId="36" fillId="3" borderId="0" xfId="0" applyFont="1" applyFill="1" applyAlignment="1">
      <alignment wrapText="1"/>
    </xf>
    <xf numFmtId="0" fontId="37" fillId="2" borderId="0" xfId="4" applyFont="1" applyFill="1" applyBorder="1"/>
    <xf numFmtId="0" fontId="10" fillId="9" borderId="0" xfId="0" applyFont="1" applyFill="1" applyAlignment="1">
      <alignment wrapText="1"/>
    </xf>
    <xf numFmtId="0" fontId="36" fillId="3" borderId="0" xfId="0" applyFont="1" applyFill="1"/>
    <xf numFmtId="0" fontId="40" fillId="3" borderId="0" xfId="4" applyFont="1" applyFill="1"/>
    <xf numFmtId="0" fontId="38" fillId="0" borderId="0" xfId="0" applyFont="1"/>
    <xf numFmtId="0" fontId="41" fillId="0" borderId="0" xfId="0" applyFont="1" applyAlignment="1">
      <alignment horizontal="left" indent="1"/>
    </xf>
    <xf numFmtId="0" fontId="43" fillId="10" borderId="0" xfId="4" applyFont="1" applyFill="1" applyBorder="1" applyAlignment="1">
      <alignment horizontal="center" vertical="center" wrapText="1"/>
    </xf>
    <xf numFmtId="0" fontId="41" fillId="0" borderId="0" xfId="0" applyFont="1" applyAlignment="1">
      <alignment horizontal="left" wrapText="1" indent="2"/>
    </xf>
    <xf numFmtId="0" fontId="6" fillId="0" borderId="0" xfId="4" applyAlignment="1">
      <alignment wrapText="1"/>
    </xf>
    <xf numFmtId="0" fontId="31" fillId="2" borderId="0" xfId="4" applyFont="1" applyFill="1"/>
    <xf numFmtId="0" fontId="19" fillId="0" borderId="0" xfId="0" applyFont="1" applyAlignment="1">
      <alignment horizontal="center"/>
    </xf>
    <xf numFmtId="0" fontId="24" fillId="0" borderId="0" xfId="0" applyFont="1" applyAlignment="1">
      <alignment horizontal="center" wrapText="1"/>
    </xf>
  </cellXfs>
  <cellStyles count="5">
    <cellStyle name="Comma" xfId="1" builtinId="3"/>
    <cellStyle name="Currency" xfId="2" builtinId="4"/>
    <cellStyle name="Hyperlink" xfId="4" builtinId="8"/>
    <cellStyle name="Normal" xfId="0" builtinId="0"/>
    <cellStyle name="Percent" xfId="3" builtinId="5"/>
  </cellStyles>
  <dxfs count="11">
    <dxf>
      <font>
        <color theme="0" tint="-0.14996795556505021"/>
      </font>
      <border>
        <left/>
        <right/>
        <top/>
        <bottom/>
        <vertical/>
        <horizontal/>
      </border>
    </dxf>
    <dxf>
      <font>
        <color theme="0" tint="-0.14996795556505021"/>
      </font>
      <border>
        <left/>
        <right/>
        <top/>
        <bottom/>
        <vertical/>
        <horizontal/>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border>
    </dxf>
    <dxf>
      <font>
        <color rgb="FFC00000"/>
      </font>
    </dxf>
    <dxf>
      <font>
        <color theme="0" tint="-0.14996795556505021"/>
      </font>
    </dxf>
    <dxf>
      <font>
        <color theme="0" tint="-0.24994659260841701"/>
      </font>
      <fill>
        <patternFill>
          <bgColor theme="0" tint="-4.9989318521683403E-2"/>
        </patternFill>
      </fill>
    </dxf>
    <dxf>
      <numFmt numFmtId="179" formatCode="#&quot; mth&quot;"/>
    </dxf>
    <dxf>
      <font>
        <color theme="0" tint="-0.24994659260841701"/>
      </font>
    </dxf>
    <dxf>
      <font>
        <color theme="0" tint="-0.24994659260841701"/>
      </font>
      <border>
        <top/>
        <bottom/>
        <vertical/>
        <horizontal/>
      </border>
    </dxf>
    <dxf>
      <font>
        <color theme="0" tint="-0.24994659260841701"/>
      </font>
      <numFmt numFmtId="166" formatCode="_-#,##0_)_-;_-\(#,##0\)_-;_-&quot;-&quot;??_)_-;_-@_)_-"/>
      <border>
        <top/>
        <bottom/>
      </border>
    </dxf>
  </dxfs>
  <tableStyles count="0" defaultTableStyle="TableStyleMedium2" defaultPivotStyle="PivotStyleLight16"/>
  <colors>
    <mruColors>
      <color rgb="FFEA421A"/>
      <color rgb="FF22DBD1"/>
      <color rgb="FF151D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ognitiv.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kognitiv.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ognitiv.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kognitiv.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88900</xdr:rowOff>
    </xdr:from>
    <xdr:to>
      <xdr:col>2</xdr:col>
      <xdr:colOff>1095531</xdr:colOff>
      <xdr:row>1</xdr:row>
      <xdr:rowOff>1520</xdr:rowOff>
    </xdr:to>
    <xdr:pic>
      <xdr:nvPicPr>
        <xdr:cNvPr id="2" name="Picture 1" descr="A picture containing text, clipart&#10;&#10;Description automatically generated">
          <a:hlinkClick xmlns:r="http://schemas.openxmlformats.org/officeDocument/2006/relationships" r:id="rId1"/>
          <a:extLst>
            <a:ext uri="{FF2B5EF4-FFF2-40B4-BE49-F238E27FC236}">
              <a16:creationId xmlns:a16="http://schemas.microsoft.com/office/drawing/2014/main" id="{4B638569-AAE9-4F58-93BA-D0C6707558BD}"/>
            </a:ext>
          </a:extLst>
        </xdr:cNvPr>
        <xdr:cNvPicPr>
          <a:picLocks noChangeAspect="1"/>
        </xdr:cNvPicPr>
      </xdr:nvPicPr>
      <xdr:blipFill>
        <a:blip xmlns:r="http://schemas.openxmlformats.org/officeDocument/2006/relationships" r:embed="rId2"/>
        <a:stretch>
          <a:fillRect/>
        </a:stretch>
      </xdr:blipFill>
      <xdr:spPr>
        <a:xfrm>
          <a:off x="206829" y="90714"/>
          <a:ext cx="1033479" cy="317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54429</xdr:colOff>
      <xdr:row>0</xdr:row>
      <xdr:rowOff>90714</xdr:rowOff>
    </xdr:from>
    <xdr:to>
      <xdr:col>2</xdr:col>
      <xdr:colOff>1085187</xdr:colOff>
      <xdr:row>1</xdr:row>
      <xdr:rowOff>613</xdr:rowOff>
    </xdr:to>
    <xdr:pic>
      <xdr:nvPicPr>
        <xdr:cNvPr id="2" name="Picture 1" descr="A picture containing text, clipart&#10;&#10;Description automatically generated">
          <a:hlinkClick xmlns:r="http://schemas.openxmlformats.org/officeDocument/2006/relationships" r:id="rId1"/>
          <a:extLst>
            <a:ext uri="{FF2B5EF4-FFF2-40B4-BE49-F238E27FC236}">
              <a16:creationId xmlns:a16="http://schemas.microsoft.com/office/drawing/2014/main" id="{36C902C2-3A68-4E1E-891D-1B31BE82030A}"/>
            </a:ext>
          </a:extLst>
        </xdr:cNvPr>
        <xdr:cNvPicPr>
          <a:picLocks noChangeAspect="1"/>
        </xdr:cNvPicPr>
      </xdr:nvPicPr>
      <xdr:blipFill>
        <a:blip xmlns:r="http://schemas.openxmlformats.org/officeDocument/2006/relationships" r:embed="rId2"/>
        <a:stretch>
          <a:fillRect/>
        </a:stretch>
      </xdr:blipFill>
      <xdr:spPr>
        <a:xfrm>
          <a:off x="209550" y="93435"/>
          <a:ext cx="1030758" cy="313578"/>
        </a:xfrm>
        <a:prstGeom prst="rect">
          <a:avLst/>
        </a:prstGeom>
      </xdr:spPr>
    </xdr:pic>
    <xdr:clientData/>
  </xdr:twoCellAnchor>
  <xdr:twoCellAnchor editAs="oneCell">
    <xdr:from>
      <xdr:col>4</xdr:col>
      <xdr:colOff>96529</xdr:colOff>
      <xdr:row>15</xdr:row>
      <xdr:rowOff>59560</xdr:rowOff>
    </xdr:from>
    <xdr:to>
      <xdr:col>16</xdr:col>
      <xdr:colOff>516930</xdr:colOff>
      <xdr:row>26</xdr:row>
      <xdr:rowOff>171300</xdr:rowOff>
    </xdr:to>
    <xdr:pic>
      <xdr:nvPicPr>
        <xdr:cNvPr id="3" name="Picture 2">
          <a:extLst>
            <a:ext uri="{FF2B5EF4-FFF2-40B4-BE49-F238E27FC236}">
              <a16:creationId xmlns:a16="http://schemas.microsoft.com/office/drawing/2014/main" id="{8241E0F2-430E-4742-B13C-FA0977A6ED0F}"/>
            </a:ext>
          </a:extLst>
        </xdr:cNvPr>
        <xdr:cNvPicPr>
          <a:picLocks noChangeAspect="1"/>
        </xdr:cNvPicPr>
      </xdr:nvPicPr>
      <xdr:blipFill>
        <a:blip xmlns:r="http://schemas.openxmlformats.org/officeDocument/2006/relationships" r:embed="rId3"/>
        <a:stretch>
          <a:fillRect/>
        </a:stretch>
      </xdr:blipFill>
      <xdr:spPr>
        <a:xfrm>
          <a:off x="9326708" y="2901639"/>
          <a:ext cx="8345201" cy="2339682"/>
        </a:xfrm>
        <a:prstGeom prst="rect">
          <a:avLst/>
        </a:prstGeom>
        <a:ln>
          <a:solidFill>
            <a:sysClr val="windowText" lastClr="000000"/>
          </a:solidFill>
        </a:ln>
      </xdr:spPr>
    </xdr:pic>
    <xdr:clientData/>
  </xdr:twoCellAnchor>
  <xdr:twoCellAnchor editAs="oneCell">
    <xdr:from>
      <xdr:col>4</xdr:col>
      <xdr:colOff>96529</xdr:colOff>
      <xdr:row>34</xdr:row>
      <xdr:rowOff>219983</xdr:rowOff>
    </xdr:from>
    <xdr:to>
      <xdr:col>16</xdr:col>
      <xdr:colOff>516619</xdr:colOff>
      <xdr:row>44</xdr:row>
      <xdr:rowOff>369498</xdr:rowOff>
    </xdr:to>
    <xdr:pic>
      <xdr:nvPicPr>
        <xdr:cNvPr id="4" name="Picture 3">
          <a:extLst>
            <a:ext uri="{FF2B5EF4-FFF2-40B4-BE49-F238E27FC236}">
              <a16:creationId xmlns:a16="http://schemas.microsoft.com/office/drawing/2014/main" id="{B60F3AE9-281C-4CE7-89D4-91896B52FAC1}"/>
            </a:ext>
          </a:extLst>
        </xdr:cNvPr>
        <xdr:cNvPicPr>
          <a:picLocks noChangeAspect="1"/>
        </xdr:cNvPicPr>
      </xdr:nvPicPr>
      <xdr:blipFill rotWithShape="1">
        <a:blip xmlns:r="http://schemas.openxmlformats.org/officeDocument/2006/relationships" r:embed="rId4"/>
        <a:srcRect r="10680" b="47712"/>
        <a:stretch/>
      </xdr:blipFill>
      <xdr:spPr>
        <a:xfrm>
          <a:off x="9326708" y="6428469"/>
          <a:ext cx="8344890" cy="2170174"/>
        </a:xfrm>
        <a:prstGeom prst="rect">
          <a:avLst/>
        </a:prstGeom>
        <a:ln>
          <a:solidFill>
            <a:sysClr val="windowText" lastClr="000000"/>
          </a:solidFill>
        </a:ln>
      </xdr:spPr>
    </xdr:pic>
    <xdr:clientData/>
  </xdr:twoCellAnchor>
  <xdr:twoCellAnchor editAs="oneCell">
    <xdr:from>
      <xdr:col>2</xdr:col>
      <xdr:colOff>0</xdr:colOff>
      <xdr:row>45</xdr:row>
      <xdr:rowOff>139802</xdr:rowOff>
    </xdr:from>
    <xdr:to>
      <xdr:col>3</xdr:col>
      <xdr:colOff>1146</xdr:colOff>
      <xdr:row>48</xdr:row>
      <xdr:rowOff>74553</xdr:rowOff>
    </xdr:to>
    <xdr:pic>
      <xdr:nvPicPr>
        <xdr:cNvPr id="5" name="Picture 4">
          <a:extLst>
            <a:ext uri="{FF2B5EF4-FFF2-40B4-BE49-F238E27FC236}">
              <a16:creationId xmlns:a16="http://schemas.microsoft.com/office/drawing/2014/main" id="{02C0F4FC-C014-4F7B-940B-C6B9C8B6C308}"/>
            </a:ext>
            <a:ext uri="{147F2762-F138-4A5C-976F-8EAC2B608ADB}">
              <a16:predDERef xmlns:a16="http://schemas.microsoft.com/office/drawing/2014/main" pred="{B60F3AE9-281C-4CE7-89D4-91896B52FAC1}"/>
            </a:ext>
          </a:extLst>
        </xdr:cNvPr>
        <xdr:cNvPicPr>
          <a:picLocks noChangeAspect="1"/>
        </xdr:cNvPicPr>
      </xdr:nvPicPr>
      <xdr:blipFill>
        <a:blip xmlns:r="http://schemas.openxmlformats.org/officeDocument/2006/relationships" r:embed="rId5"/>
        <a:stretch>
          <a:fillRect/>
        </a:stretch>
      </xdr:blipFill>
      <xdr:spPr>
        <a:xfrm>
          <a:off x="152400" y="9531452"/>
          <a:ext cx="7935471" cy="506251"/>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94342</xdr:colOff>
      <xdr:row>1</xdr:row>
      <xdr:rowOff>35377</xdr:rowOff>
    </xdr:from>
    <xdr:to>
      <xdr:col>2</xdr:col>
      <xdr:colOff>1125100</xdr:colOff>
      <xdr:row>1</xdr:row>
      <xdr:rowOff>364373</xdr:rowOff>
    </xdr:to>
    <xdr:pic>
      <xdr:nvPicPr>
        <xdr:cNvPr id="2" name="Picture 1" descr="A picture containing text, clipart&#10;&#10;Description automatically generated">
          <a:hlinkClick xmlns:r="http://schemas.openxmlformats.org/officeDocument/2006/relationships" r:id="rId1"/>
          <a:extLst>
            <a:ext uri="{FF2B5EF4-FFF2-40B4-BE49-F238E27FC236}">
              <a16:creationId xmlns:a16="http://schemas.microsoft.com/office/drawing/2014/main" id="{DAF85F5E-D973-49C3-9653-36595B2B7B0F}"/>
            </a:ext>
          </a:extLst>
        </xdr:cNvPr>
        <xdr:cNvPicPr>
          <a:picLocks noChangeAspect="1"/>
        </xdr:cNvPicPr>
      </xdr:nvPicPr>
      <xdr:blipFill>
        <a:blip xmlns:r="http://schemas.openxmlformats.org/officeDocument/2006/relationships" r:embed="rId2"/>
        <a:stretch>
          <a:fillRect/>
        </a:stretch>
      </xdr:blipFill>
      <xdr:spPr>
        <a:xfrm>
          <a:off x="236763" y="244020"/>
          <a:ext cx="1028037" cy="3299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532492</xdr:colOff>
      <xdr:row>0</xdr:row>
      <xdr:rowOff>54428</xdr:rowOff>
    </xdr:from>
    <xdr:to>
      <xdr:col>1</xdr:col>
      <xdr:colOff>1008708</xdr:colOff>
      <xdr:row>1</xdr:row>
      <xdr:rowOff>17125</xdr:rowOff>
    </xdr:to>
    <xdr:pic>
      <xdr:nvPicPr>
        <xdr:cNvPr id="2" name="Picture 1" descr="A picture containing text, clipart&#10;&#10;Description automatically generated">
          <a:hlinkClick xmlns:r="http://schemas.openxmlformats.org/officeDocument/2006/relationships" r:id="rId1"/>
          <a:extLst>
            <a:ext uri="{FF2B5EF4-FFF2-40B4-BE49-F238E27FC236}">
              <a16:creationId xmlns:a16="http://schemas.microsoft.com/office/drawing/2014/main" id="{B97805A7-AA5A-426B-B4E0-EF6B2EC724AE}"/>
            </a:ext>
          </a:extLst>
        </xdr:cNvPr>
        <xdr:cNvPicPr>
          <a:picLocks/>
        </xdr:cNvPicPr>
      </xdr:nvPicPr>
      <xdr:blipFill>
        <a:blip xmlns:r="http://schemas.openxmlformats.org/officeDocument/2006/relationships" r:embed="rId2"/>
        <a:stretch>
          <a:fillRect/>
        </a:stretch>
      </xdr:blipFill>
      <xdr:spPr>
        <a:xfrm>
          <a:off x="94342" y="57149"/>
          <a:ext cx="1012336" cy="33462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hare.hsforms.com/1XZiwajRCRlKrSBuM0kAwYwctsvt" TargetMode="External"/><Relationship Id="rId2" Type="http://schemas.openxmlformats.org/officeDocument/2006/relationships/hyperlink" Target="https://www.kognitiv.com/company/contact" TargetMode="External"/><Relationship Id="rId1" Type="http://schemas.openxmlformats.org/officeDocument/2006/relationships/hyperlink" Target="https://www.kognitiv.com/company/contac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hare.hsforms.com/1XZiwajRCRlKrSBuM0kAwYwctsv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hare.hsforms.com/1XZiwajRCRlKrSBuM0kAwYwctsvt"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mailto:info@kognitiv.com" TargetMode="External"/><Relationship Id="rId2" Type="http://schemas.openxmlformats.org/officeDocument/2006/relationships/hyperlink" Target="https://www.linkedin.com/company/kognitiv-corporation/" TargetMode="External"/><Relationship Id="rId1" Type="http://schemas.openxmlformats.org/officeDocument/2006/relationships/hyperlink" Target="https://www.kognitiv.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linkedin.com/company/kognitiv-corporation/" TargetMode="External"/><Relationship Id="rId1" Type="http://schemas.openxmlformats.org/officeDocument/2006/relationships/hyperlink" Target="https://www.kognitiv.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E687A-7B7F-4868-9C34-4712F96C0B3F}">
  <sheetPr codeName="Sheet6">
    <tabColor rgb="FF22DBD1"/>
    <pageSetUpPr fitToPage="1"/>
  </sheetPr>
  <dimension ref="A1:V73"/>
  <sheetViews>
    <sheetView showGridLines="0" zoomScale="85" zoomScaleNormal="85" workbookViewId="0">
      <selection activeCell="C65" sqref="C65"/>
    </sheetView>
  </sheetViews>
  <sheetFormatPr defaultColWidth="0" defaultRowHeight="14.9" customHeight="1" zeroHeight="1" x14ac:dyDescent="0.35"/>
  <cols>
    <col min="1" max="2" width="1.1796875" style="3" customWidth="1"/>
    <col min="3" max="3" width="109.7265625" style="3" customWidth="1"/>
    <col min="4" max="4" width="8.7265625" style="3" customWidth="1"/>
    <col min="5" max="22" width="0" style="3" hidden="1" customWidth="1"/>
    <col min="23" max="16384" width="9.26953125" style="3" hidden="1"/>
  </cols>
  <sheetData>
    <row r="1" spans="1:22" ht="32.25" customHeight="1" x14ac:dyDescent="0.35">
      <c r="A1" s="1"/>
      <c r="B1" s="1"/>
      <c r="C1" s="1"/>
      <c r="D1" s="2" t="s">
        <v>0</v>
      </c>
      <c r="E1" s="1"/>
      <c r="F1" s="1"/>
      <c r="G1" s="1"/>
      <c r="H1" s="155" t="s">
        <v>0</v>
      </c>
      <c r="I1" s="1"/>
      <c r="J1" s="1"/>
      <c r="K1" s="1"/>
      <c r="L1" s="1"/>
      <c r="M1" s="1"/>
      <c r="N1" s="1"/>
      <c r="O1" s="1"/>
      <c r="P1" s="1"/>
      <c r="Q1" s="1"/>
      <c r="R1" s="1"/>
      <c r="S1" s="1"/>
      <c r="T1" s="1"/>
      <c r="U1" s="1"/>
      <c r="V1" s="1"/>
    </row>
    <row r="2" spans="1:22" ht="14.25" customHeight="1" x14ac:dyDescent="0.35">
      <c r="C2" s="4"/>
    </row>
    <row r="3" spans="1:22" ht="6" customHeight="1" x14ac:dyDescent="0.35">
      <c r="C3" s="4"/>
    </row>
    <row r="4" spans="1:22" ht="21" x14ac:dyDescent="0.5">
      <c r="C4" s="5" t="s">
        <v>1</v>
      </c>
    </row>
    <row r="5" spans="1:22" ht="14.5" x14ac:dyDescent="0.35">
      <c r="C5" s="3" t="s">
        <v>2</v>
      </c>
    </row>
    <row r="6" spans="1:22" ht="14.5" x14ac:dyDescent="0.35"/>
    <row r="7" spans="1:22" ht="14.5" x14ac:dyDescent="0.35">
      <c r="C7" s="214" t="s">
        <v>3</v>
      </c>
    </row>
    <row r="8" spans="1:22" ht="14.5" x14ac:dyDescent="0.35">
      <c r="C8" s="7" t="s">
        <v>4</v>
      </c>
    </row>
    <row r="9" spans="1:22" ht="6" customHeight="1" x14ac:dyDescent="0.35">
      <c r="C9" s="7"/>
    </row>
    <row r="10" spans="1:22" ht="46.5" customHeight="1" x14ac:dyDescent="0.35">
      <c r="C10" s="7" t="s">
        <v>5</v>
      </c>
    </row>
    <row r="11" spans="1:22" ht="6" customHeight="1" x14ac:dyDescent="0.35">
      <c r="C11" s="7"/>
    </row>
    <row r="12" spans="1:22" ht="14.5" x14ac:dyDescent="0.35">
      <c r="C12" s="7" t="s">
        <v>6</v>
      </c>
    </row>
    <row r="13" spans="1:22" ht="6" customHeight="1" x14ac:dyDescent="0.35">
      <c r="C13" s="7"/>
    </row>
    <row r="14" spans="1:22" ht="14.5" x14ac:dyDescent="0.35">
      <c r="C14" s="7" t="s">
        <v>7</v>
      </c>
    </row>
    <row r="15" spans="1:22" ht="6" customHeight="1" x14ac:dyDescent="0.35">
      <c r="C15" s="7"/>
    </row>
    <row r="16" spans="1:22" ht="46.5" customHeight="1" x14ac:dyDescent="0.35">
      <c r="C16" s="7" t="s">
        <v>8</v>
      </c>
    </row>
    <row r="17" spans="3:3" ht="7.4" customHeight="1" x14ac:dyDescent="0.35">
      <c r="C17" s="7"/>
    </row>
    <row r="18" spans="3:3" customFormat="1" ht="14.5" x14ac:dyDescent="0.35">
      <c r="C18" s="8"/>
    </row>
    <row r="19" spans="3:3" customFormat="1" ht="14.5" x14ac:dyDescent="0.35">
      <c r="C19" s="214" t="s">
        <v>9</v>
      </c>
    </row>
    <row r="20" spans="3:3" customFormat="1" ht="14.5" x14ac:dyDescent="0.35">
      <c r="C20" t="s">
        <v>10</v>
      </c>
    </row>
    <row r="21" spans="3:3" customFormat="1" ht="14.5" x14ac:dyDescent="0.35">
      <c r="C21" s="9" t="s">
        <v>11</v>
      </c>
    </row>
    <row r="22" spans="3:3" customFormat="1" ht="14.5" x14ac:dyDescent="0.35">
      <c r="C22" s="9" t="s">
        <v>12</v>
      </c>
    </row>
    <row r="23" spans="3:3" customFormat="1" ht="14.5" x14ac:dyDescent="0.35">
      <c r="C23" s="9" t="s">
        <v>13</v>
      </c>
    </row>
    <row r="24" spans="3:3" customFormat="1" ht="14.5" x14ac:dyDescent="0.35">
      <c r="C24" s="9" t="s">
        <v>14</v>
      </c>
    </row>
    <row r="25" spans="3:3" customFormat="1" ht="14.5" x14ac:dyDescent="0.35"/>
    <row r="26" spans="3:3" customFormat="1" ht="14.5" x14ac:dyDescent="0.35">
      <c r="C26" s="10" t="s">
        <v>15</v>
      </c>
    </row>
    <row r="27" spans="3:3" customFormat="1" ht="14.5" x14ac:dyDescent="0.35">
      <c r="C27" s="11" t="s">
        <v>16</v>
      </c>
    </row>
    <row r="28" spans="3:3" customFormat="1" ht="14.5" x14ac:dyDescent="0.35">
      <c r="C28" s="12" t="s">
        <v>17</v>
      </c>
    </row>
    <row r="29" spans="3:3" customFormat="1" ht="14.5" x14ac:dyDescent="0.35">
      <c r="C29" s="12" t="s">
        <v>18</v>
      </c>
    </row>
    <row r="30" spans="3:3" customFormat="1" ht="14.5" x14ac:dyDescent="0.35">
      <c r="C30" s="11" t="s">
        <v>19</v>
      </c>
    </row>
    <row r="31" spans="3:3" customFormat="1" ht="14.5" x14ac:dyDescent="0.35">
      <c r="C31" s="12" t="s">
        <v>20</v>
      </c>
    </row>
    <row r="32" spans="3:3" customFormat="1" ht="14.5" x14ac:dyDescent="0.35">
      <c r="C32" s="12" t="s">
        <v>21</v>
      </c>
    </row>
    <row r="33" spans="3:3" customFormat="1" ht="14.5" x14ac:dyDescent="0.35">
      <c r="C33" s="12" t="s">
        <v>22</v>
      </c>
    </row>
    <row r="34" spans="3:3" customFormat="1" ht="14.5" x14ac:dyDescent="0.35">
      <c r="C34" s="12" t="s">
        <v>23</v>
      </c>
    </row>
    <row r="35" spans="3:3" customFormat="1" ht="14.5" x14ac:dyDescent="0.35">
      <c r="C35" s="12" t="s">
        <v>24</v>
      </c>
    </row>
    <row r="36" spans="3:3" customFormat="1" ht="14.5" x14ac:dyDescent="0.35">
      <c r="C36" s="13"/>
    </row>
    <row r="37" spans="3:3" customFormat="1" ht="14.5" x14ac:dyDescent="0.35">
      <c r="C37" s="10" t="s">
        <v>25</v>
      </c>
    </row>
    <row r="38" spans="3:3" customFormat="1" ht="14.5" x14ac:dyDescent="0.35">
      <c r="C38" s="220" t="s">
        <v>26</v>
      </c>
    </row>
    <row r="39" spans="3:3" customFormat="1" ht="14.5" x14ac:dyDescent="0.35">
      <c r="C39" s="11" t="s">
        <v>27</v>
      </c>
    </row>
    <row r="40" spans="3:3" customFormat="1" ht="14.5" x14ac:dyDescent="0.35"/>
    <row r="41" spans="3:3" ht="14.5" x14ac:dyDescent="0.35">
      <c r="C41" s="214" t="s">
        <v>28</v>
      </c>
    </row>
    <row r="42" spans="3:3" ht="24" customHeight="1" x14ac:dyDescent="0.35">
      <c r="C42" s="3" t="s">
        <v>29</v>
      </c>
    </row>
    <row r="43" spans="3:3" ht="6" customHeight="1" x14ac:dyDescent="0.35">
      <c r="C43" s="14"/>
    </row>
    <row r="44" spans="3:3" ht="45.5" x14ac:dyDescent="0.35">
      <c r="C44" s="15" t="s">
        <v>30</v>
      </c>
    </row>
    <row r="45" spans="3:3" ht="31" x14ac:dyDescent="0.35">
      <c r="C45" s="16" t="s">
        <v>31</v>
      </c>
    </row>
    <row r="46" spans="3:3" ht="31" x14ac:dyDescent="0.35">
      <c r="C46" s="16" t="s">
        <v>32</v>
      </c>
    </row>
    <row r="47" spans="3:3" ht="31" x14ac:dyDescent="0.35">
      <c r="C47" s="16" t="s">
        <v>33</v>
      </c>
    </row>
    <row r="48" spans="3:3" ht="16.5" x14ac:dyDescent="0.45">
      <c r="C48" s="16" t="s">
        <v>34</v>
      </c>
    </row>
    <row r="49" spans="3:3" ht="48" customHeight="1" x14ac:dyDescent="0.35">
      <c r="C49" s="16" t="s">
        <v>35</v>
      </c>
    </row>
    <row r="50" spans="3:3" ht="31" x14ac:dyDescent="0.35">
      <c r="C50" s="17" t="s">
        <v>36</v>
      </c>
    </row>
    <row r="51" spans="3:3" ht="14.5" x14ac:dyDescent="0.35"/>
    <row r="52" spans="3:3" ht="14.5" x14ac:dyDescent="0.35">
      <c r="C52" s="214" t="s">
        <v>37</v>
      </c>
    </row>
    <row r="53" spans="3:3" ht="14.5" x14ac:dyDescent="0.35"/>
    <row r="54" spans="3:3" customFormat="1" ht="14.5" x14ac:dyDescent="0.35">
      <c r="C54" s="13" t="s">
        <v>38</v>
      </c>
    </row>
    <row r="55" spans="3:3" customFormat="1" ht="14.5" x14ac:dyDescent="0.35">
      <c r="C55" s="18" t="s">
        <v>39</v>
      </c>
    </row>
    <row r="56" spans="3:3" customFormat="1" ht="14.5" x14ac:dyDescent="0.35">
      <c r="C56" s="18" t="s">
        <v>40</v>
      </c>
    </row>
    <row r="57" spans="3:3" customFormat="1" ht="14.5" x14ac:dyDescent="0.35">
      <c r="C57" s="18" t="s">
        <v>41</v>
      </c>
    </row>
    <row r="58" spans="3:3" customFormat="1" ht="14.5" x14ac:dyDescent="0.35">
      <c r="C58" s="18" t="s">
        <v>42</v>
      </c>
    </row>
    <row r="59" spans="3:3" ht="14.5" x14ac:dyDescent="0.35"/>
    <row r="60" spans="3:3" ht="14.5" x14ac:dyDescent="0.35">
      <c r="C60" s="214" t="s">
        <v>43</v>
      </c>
    </row>
    <row r="61" spans="3:3" ht="48.75" customHeight="1" x14ac:dyDescent="0.35">
      <c r="C61" s="19" t="s">
        <v>44</v>
      </c>
    </row>
    <row r="62" spans="3:3" ht="14.5" x14ac:dyDescent="0.35">
      <c r="C62" s="20" t="s">
        <v>45</v>
      </c>
    </row>
    <row r="63" spans="3:3" ht="15" thickBot="1" x14ac:dyDescent="0.4"/>
    <row r="64" spans="3:3" customFormat="1" ht="36.65" customHeight="1" x14ac:dyDescent="0.35">
      <c r="C64" s="152" t="s">
        <v>46</v>
      </c>
    </row>
    <row r="65" spans="3:3" customFormat="1" ht="36.65" customHeight="1" x14ac:dyDescent="0.35">
      <c r="C65" s="221" t="s">
        <v>47</v>
      </c>
    </row>
    <row r="66" spans="3:3" ht="14.9" customHeight="1" x14ac:dyDescent="0.35"/>
    <row r="67" spans="3:3" ht="14.9" customHeight="1" x14ac:dyDescent="0.35"/>
    <row r="68" spans="3:3" ht="4.5" customHeight="1" x14ac:dyDescent="0.35"/>
    <row r="69" spans="3:3" ht="85.5" customHeight="1" x14ac:dyDescent="0.35">
      <c r="C69" s="213" t="s">
        <v>48</v>
      </c>
    </row>
    <row r="70" spans="3:3" ht="14.9" customHeight="1" x14ac:dyDescent="0.35"/>
    <row r="71" spans="3:3" ht="14.5" x14ac:dyDescent="0.35">
      <c r="C71" s="21" t="s">
        <v>0</v>
      </c>
    </row>
    <row r="72" spans="3:3" ht="14.9" customHeight="1" x14ac:dyDescent="0.35"/>
    <row r="73" spans="3:3" ht="14.9" customHeight="1" x14ac:dyDescent="0.35"/>
  </sheetData>
  <sheetProtection algorithmName="SHA-512" hashValue="o+XBLOlo6bQljwTJJSncRTtSWYljw3lDDqnt+lj0WWdpHjEOcTBvDxP89Pyh4DMjvA54/bvFyUdXBlN9/Fu8EA==" saltValue="dcDnW/ye+k6JZ3ymu8tW3Q==" spinCount="100000" sheet="1" objects="1" scenarios="1" formatCells="0"/>
  <hyperlinks>
    <hyperlink ref="C62" r:id="rId1" xr:uid="{86CE8461-4125-4595-A914-8489AB9B67CD}"/>
    <hyperlink ref="C61" r:id="rId2" display="To find out more about how loyalty strategies can help your brand - including using AI to create smarter lifecycle campaigns - please visit our website. We have over 80 years of experience helping clients simplify profitable customer loyalty strategies." xr:uid="{327E2863-E566-4BC6-A98A-FD5AE65B8316}"/>
    <hyperlink ref="C65" r:id="rId3" xr:uid="{F49E21C4-9167-4737-A78C-80876D6D2D37}"/>
  </hyperlinks>
  <pageMargins left="0.7" right="0.7" top="0.75" bottom="0.75" header="0.3" footer="0.3"/>
  <pageSetup fitToHeight="3" orientation="landscape" horizontalDpi="300" verticalDpi="300" r:id="rId4"/>
  <headerFooter scaleWithDoc="0">
    <oddFooter xml:space="preserve">&amp;L© 2024 Kognitiv Corporation
</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FE5C-BE24-4B69-AD7F-CE993755F379}">
  <sheetPr codeName="Sheet2">
    <tabColor rgb="FF22DBD1"/>
    <pageSetUpPr fitToPage="1"/>
  </sheetPr>
  <dimension ref="A1:V68"/>
  <sheetViews>
    <sheetView showGridLines="0" topLeftCell="A45" zoomScale="85" zoomScaleNormal="85" workbookViewId="0">
      <selection activeCell="C59" sqref="C59"/>
    </sheetView>
  </sheetViews>
  <sheetFormatPr defaultColWidth="0" defaultRowHeight="14.5" zeroHeight="1" x14ac:dyDescent="0.35"/>
  <cols>
    <col min="1" max="2" width="1.1796875" style="3" customWidth="1"/>
    <col min="3" max="3" width="119" style="3" customWidth="1"/>
    <col min="4" max="18" width="9.26953125" style="3" customWidth="1"/>
    <col min="19" max="22" width="0" style="3" hidden="1" customWidth="1"/>
    <col min="23" max="16384" width="9.26953125" style="3" hidden="1"/>
  </cols>
  <sheetData>
    <row r="1" spans="1:22" ht="32.25" customHeight="1" x14ac:dyDescent="0.35">
      <c r="A1" s="1"/>
      <c r="B1" s="1"/>
      <c r="C1" s="1"/>
      <c r="D1" s="1"/>
      <c r="E1" s="1"/>
      <c r="F1" s="1"/>
      <c r="G1" s="1"/>
      <c r="H1" s="1"/>
      <c r="I1" s="1"/>
      <c r="J1" s="1"/>
      <c r="K1" s="1"/>
      <c r="L1" s="1"/>
      <c r="M1" s="1"/>
      <c r="N1" s="2" t="s">
        <v>0</v>
      </c>
      <c r="O1" s="1"/>
      <c r="P1" s="1"/>
      <c r="Q1" s="1"/>
      <c r="R1" s="1"/>
      <c r="S1" s="1"/>
      <c r="T1" s="1"/>
      <c r="U1" s="1"/>
      <c r="V1" s="1"/>
    </row>
    <row r="2" spans="1:22" ht="14.25" customHeight="1" x14ac:dyDescent="0.35">
      <c r="C2" s="4"/>
    </row>
    <row r="3" spans="1:22" ht="6" customHeight="1" x14ac:dyDescent="0.35">
      <c r="C3" s="4"/>
    </row>
    <row r="4" spans="1:22" ht="21" x14ac:dyDescent="0.5">
      <c r="C4" s="5" t="s">
        <v>49</v>
      </c>
      <c r="V4" s="29" t="s">
        <v>0</v>
      </c>
    </row>
    <row r="5" spans="1:22" ht="7.4" customHeight="1" x14ac:dyDescent="0.5">
      <c r="C5" s="5"/>
    </row>
    <row r="6" spans="1:22" x14ac:dyDescent="0.35">
      <c r="C6" s="22" t="s">
        <v>50</v>
      </c>
    </row>
    <row r="7" spans="1:22" x14ac:dyDescent="0.35">
      <c r="C7" s="23" t="s">
        <v>51</v>
      </c>
    </row>
    <row r="8" spans="1:22" x14ac:dyDescent="0.35">
      <c r="C8" s="23" t="s">
        <v>52</v>
      </c>
    </row>
    <row r="9" spans="1:22" x14ac:dyDescent="0.35">
      <c r="C9" s="23" t="s">
        <v>53</v>
      </c>
    </row>
    <row r="10" spans="1:22" x14ac:dyDescent="0.35">
      <c r="C10" s="3" t="s">
        <v>54</v>
      </c>
    </row>
    <row r="11" spans="1:22" x14ac:dyDescent="0.35"/>
    <row r="12" spans="1:22" x14ac:dyDescent="0.35">
      <c r="C12" s="214" t="s">
        <v>55</v>
      </c>
      <c r="D12" s="6"/>
      <c r="E12" s="6"/>
      <c r="F12" s="6"/>
      <c r="G12" s="6"/>
      <c r="H12" s="6"/>
      <c r="I12" s="6"/>
      <c r="J12" s="6"/>
      <c r="K12" s="6"/>
      <c r="L12" s="6"/>
      <c r="M12" s="6"/>
      <c r="N12" s="6"/>
      <c r="O12" s="6"/>
      <c r="P12" s="6"/>
      <c r="Q12" s="6"/>
    </row>
    <row r="13" spans="1:22" x14ac:dyDescent="0.35">
      <c r="C13" s="24" t="s">
        <v>56</v>
      </c>
    </row>
    <row r="14" spans="1:22" x14ac:dyDescent="0.35">
      <c r="C14" s="3" t="s">
        <v>57</v>
      </c>
    </row>
    <row r="15" spans="1:22" x14ac:dyDescent="0.35">
      <c r="C15" s="3" t="s">
        <v>58</v>
      </c>
    </row>
    <row r="16" spans="1:22" s="25" customFormat="1" ht="6" customHeight="1" x14ac:dyDescent="0.15"/>
    <row r="17" spans="3:5" x14ac:dyDescent="0.35">
      <c r="C17" s="26" t="s">
        <v>59</v>
      </c>
    </row>
    <row r="18" spans="3:5" s="25" customFormat="1" ht="6.75" customHeight="1" x14ac:dyDescent="0.15"/>
    <row r="19" spans="3:5" x14ac:dyDescent="0.35">
      <c r="C19" s="3" t="s">
        <v>60</v>
      </c>
    </row>
    <row r="20" spans="3:5" x14ac:dyDescent="0.35"/>
    <row r="21" spans="3:5" x14ac:dyDescent="0.35">
      <c r="C21" s="24" t="s">
        <v>61</v>
      </c>
    </row>
    <row r="22" spans="3:5" ht="43.5" x14ac:dyDescent="0.35">
      <c r="C22" s="3" t="s">
        <v>62</v>
      </c>
      <c r="E22"/>
    </row>
    <row r="23" spans="3:5" ht="3.75" customHeight="1" x14ac:dyDescent="0.35">
      <c r="E23"/>
    </row>
    <row r="24" spans="3:5" ht="29" x14ac:dyDescent="0.35">
      <c r="C24" s="3" t="s">
        <v>63</v>
      </c>
    </row>
    <row r="25" spans="3:5" x14ac:dyDescent="0.35"/>
    <row r="26" spans="3:5" x14ac:dyDescent="0.35">
      <c r="C26" s="24" t="s">
        <v>64</v>
      </c>
    </row>
    <row r="27" spans="3:5" x14ac:dyDescent="0.35">
      <c r="C27" s="3" t="s">
        <v>65</v>
      </c>
    </row>
    <row r="28" spans="3:5" x14ac:dyDescent="0.35">
      <c r="C28" s="3" t="s">
        <v>66</v>
      </c>
    </row>
    <row r="29" spans="3:5" x14ac:dyDescent="0.35">
      <c r="C29" s="3" t="s">
        <v>67</v>
      </c>
    </row>
    <row r="30" spans="3:5" s="25" customFormat="1" ht="6" customHeight="1" x14ac:dyDescent="0.15"/>
    <row r="31" spans="3:5" x14ac:dyDescent="0.35">
      <c r="C31" s="27" t="s">
        <v>64</v>
      </c>
    </row>
    <row r="32" spans="3:5" x14ac:dyDescent="0.35">
      <c r="C32" s="28"/>
    </row>
    <row r="33" spans="3:17" x14ac:dyDescent="0.35"/>
    <row r="34" spans="3:17" x14ac:dyDescent="0.35">
      <c r="C34" s="214" t="s">
        <v>25</v>
      </c>
      <c r="D34" s="6"/>
      <c r="E34" s="6"/>
      <c r="F34" s="6"/>
      <c r="G34" s="6"/>
      <c r="H34" s="6"/>
      <c r="I34" s="6"/>
      <c r="J34" s="6"/>
      <c r="K34" s="6"/>
      <c r="L34" s="6"/>
      <c r="M34" s="6"/>
      <c r="N34" s="6"/>
      <c r="O34" s="6"/>
      <c r="P34" s="6"/>
      <c r="Q34" s="6"/>
    </row>
    <row r="35" spans="3:17" ht="33" customHeight="1" x14ac:dyDescent="0.35">
      <c r="C35" s="3" t="s">
        <v>68</v>
      </c>
    </row>
    <row r="36" spans="3:17" ht="5.25" customHeight="1" x14ac:dyDescent="0.35"/>
    <row r="37" spans="3:17" x14ac:dyDescent="0.35">
      <c r="C37" s="3" t="s">
        <v>69</v>
      </c>
    </row>
    <row r="38" spans="3:17" x14ac:dyDescent="0.35">
      <c r="C38" s="3" t="s">
        <v>70</v>
      </c>
    </row>
    <row r="39" spans="3:17" ht="5.25" customHeight="1" x14ac:dyDescent="0.35"/>
    <row r="40" spans="3:17" x14ac:dyDescent="0.35">
      <c r="C40" s="24" t="s">
        <v>61</v>
      </c>
    </row>
    <row r="41" spans="3:17" ht="29" x14ac:dyDescent="0.35">
      <c r="C41" s="3" t="s">
        <v>71</v>
      </c>
    </row>
    <row r="42" spans="3:17" x14ac:dyDescent="0.35"/>
    <row r="43" spans="3:17" x14ac:dyDescent="0.35">
      <c r="C43" s="3" t="s">
        <v>72</v>
      </c>
    </row>
    <row r="44" spans="3:17" x14ac:dyDescent="0.35"/>
    <row r="45" spans="3:17" ht="29" x14ac:dyDescent="0.35">
      <c r="C45" s="3" t="s">
        <v>73</v>
      </c>
    </row>
    <row r="46" spans="3:17" x14ac:dyDescent="0.35"/>
    <row r="47" spans="3:17" x14ac:dyDescent="0.35"/>
    <row r="48" spans="3:17" x14ac:dyDescent="0.35"/>
    <row r="49" spans="3:17" x14ac:dyDescent="0.35"/>
    <row r="50" spans="3:17" ht="29" x14ac:dyDescent="0.35">
      <c r="C50" s="3" t="s">
        <v>74</v>
      </c>
    </row>
    <row r="51" spans="3:17" x14ac:dyDescent="0.35"/>
    <row r="52" spans="3:17" x14ac:dyDescent="0.35">
      <c r="C52" s="214" t="s">
        <v>75</v>
      </c>
      <c r="D52" s="6"/>
      <c r="E52" s="6"/>
      <c r="F52" s="6"/>
      <c r="G52" s="6"/>
      <c r="H52" s="6"/>
      <c r="I52" s="6"/>
      <c r="J52" s="6"/>
      <c r="K52" s="6"/>
      <c r="L52" s="6"/>
      <c r="M52" s="6"/>
      <c r="N52" s="6"/>
      <c r="O52" s="6"/>
      <c r="P52" s="6"/>
      <c r="Q52" s="6"/>
    </row>
    <row r="53" spans="3:17" x14ac:dyDescent="0.35">
      <c r="C53" s="223" t="s">
        <v>76</v>
      </c>
    </row>
    <row r="54" spans="3:17" x14ac:dyDescent="0.35">
      <c r="C54" s="3" t="s">
        <v>77</v>
      </c>
    </row>
    <row r="55" spans="3:17" x14ac:dyDescent="0.35"/>
    <row r="56" spans="3:17" x14ac:dyDescent="0.35">
      <c r="C56" s="3" t="s">
        <v>78</v>
      </c>
    </row>
    <row r="57" spans="3:17" x14ac:dyDescent="0.35">
      <c r="C57" s="222" t="s">
        <v>79</v>
      </c>
    </row>
    <row r="58" spans="3:17" x14ac:dyDescent="0.35">
      <c r="C58" s="222" t="s">
        <v>80</v>
      </c>
    </row>
    <row r="59" spans="3:17" ht="30.75" customHeight="1" x14ac:dyDescent="0.35">
      <c r="C59" s="222" t="s">
        <v>81</v>
      </c>
    </row>
    <row r="60" spans="3:17" x14ac:dyDescent="0.35">
      <c r="C60" s="222" t="s">
        <v>82</v>
      </c>
    </row>
    <row r="61" spans="3:17" ht="29" x14ac:dyDescent="0.35">
      <c r="C61" s="222" t="s">
        <v>83</v>
      </c>
    </row>
    <row r="62" spans="3:17" ht="31.5" customHeight="1" x14ac:dyDescent="0.35">
      <c r="C62" s="222" t="s">
        <v>84</v>
      </c>
    </row>
    <row r="63" spans="3:17" x14ac:dyDescent="0.35"/>
    <row r="64" spans="3:17" x14ac:dyDescent="0.35">
      <c r="C64" s="3" t="s">
        <v>85</v>
      </c>
    </row>
    <row r="65" spans="3:3" x14ac:dyDescent="0.35"/>
    <row r="66" spans="3:3" x14ac:dyDescent="0.35"/>
    <row r="67" spans="3:3" x14ac:dyDescent="0.35">
      <c r="C67" s="29" t="s">
        <v>0</v>
      </c>
    </row>
    <row r="68" spans="3:3" x14ac:dyDescent="0.35"/>
  </sheetData>
  <sheetProtection algorithmName="SHA-512" hashValue="Q6wxhfcz+za69nOMine4qGgXZ19RtnvCNDdxp16a1Mhog+Jcm0rmkqXVSEsRORzCVhMvoJYlWO1h5cWSbmekkA==" saltValue="2F+v4Lm6PW7BFjKmNAvN6w==" spinCount="100000" sheet="1" objects="1" scenarios="1" formatCells="0"/>
  <hyperlinks>
    <hyperlink ref="C53" r:id="rId1" xr:uid="{55F0D4F9-42D1-4535-BC11-CF814FC3BCCD}"/>
  </hyperlinks>
  <pageMargins left="0.7" right="0.7" top="0.75" bottom="0.75" header="0.3" footer="0.3"/>
  <pageSetup scale="52" fitToWidth="4" orientation="landscape" horizontalDpi="300" verticalDpi="300" r:id="rId2"/>
  <headerFooter>
    <oddFooter xml:space="preserve">&amp;L© 2024 Kognitiv Corporation
</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8740-7FB8-4396-A61C-D3582741EB69}">
  <sheetPr codeName="Sheet3">
    <tabColor rgb="FF22DBD1"/>
    <pageSetUpPr fitToPage="1"/>
  </sheetPr>
  <dimension ref="A1:X186"/>
  <sheetViews>
    <sheetView showGridLines="0" zoomScale="70" zoomScaleNormal="70" workbookViewId="0">
      <pane ySplit="1" topLeftCell="A123" activePane="bottomLeft" state="frozen"/>
      <selection activeCell="C64" sqref="C64"/>
      <selection pane="bottomLeft" activeCell="I119" sqref="I119"/>
    </sheetView>
  </sheetViews>
  <sheetFormatPr defaultColWidth="0" defaultRowHeight="14.9" customHeight="1" zeroHeight="1" x14ac:dyDescent="0.35"/>
  <cols>
    <col min="1" max="2" width="1" customWidth="1"/>
    <col min="3" max="3" width="44.7265625" customWidth="1"/>
    <col min="4" max="4" width="23.26953125" customWidth="1"/>
    <col min="5" max="8" width="14.26953125" customWidth="1"/>
    <col min="9" max="9" width="16.453125" customWidth="1"/>
    <col min="10" max="11" width="12.7265625" customWidth="1"/>
    <col min="12" max="14" width="13.81640625" customWidth="1"/>
    <col min="15" max="15" width="17.453125" customWidth="1"/>
    <col min="16" max="16" width="11" style="40" customWidth="1"/>
    <col min="17" max="17" width="11" style="41" customWidth="1"/>
    <col min="18" max="19" width="8.81640625" hidden="1"/>
    <col min="20" max="20" width="13" hidden="1"/>
    <col min="21" max="22" width="13.26953125" hidden="1"/>
    <col min="23" max="23" width="8.81640625" hidden="1"/>
    <col min="24" max="24" width="5.7265625" hidden="1" customWidth="1"/>
    <col min="25" max="16384" width="8.81640625" hidden="1"/>
  </cols>
  <sheetData>
    <row r="1" spans="1:24" s="35" customFormat="1" ht="16.5" customHeight="1" x14ac:dyDescent="0.35">
      <c r="A1" s="30"/>
      <c r="B1" s="30"/>
      <c r="C1" s="2" t="s">
        <v>0</v>
      </c>
      <c r="D1" s="30"/>
      <c r="E1" s="30"/>
      <c r="F1" s="30"/>
      <c r="G1" s="30"/>
      <c r="H1" s="30"/>
      <c r="I1" s="31" t="s">
        <v>86</v>
      </c>
      <c r="J1" s="32" t="str" cm="1">
        <f t="array" aca="1" ref="J1" ca="1">HYPERLINK("#"&amp;CELL("address",C8),"Req'd Inputs")</f>
        <v>Req'd Inputs</v>
      </c>
      <c r="K1" s="32" t="str" cm="1">
        <f t="array" aca="1" ref="K1" ca="1">HYPERLINK("#"&amp;CELL("address",C43), "Outputs")</f>
        <v>Outputs</v>
      </c>
      <c r="L1" s="32" t="str" cm="1">
        <f t="array" aca="1" ref="L1" ca="1">HYPERLINK("#"&amp;CELL("Address",C90),"Optional inputs")</f>
        <v>Optional inputs</v>
      </c>
      <c r="M1" s="30"/>
      <c r="N1" s="30"/>
      <c r="O1" s="30"/>
      <c r="P1" s="33"/>
      <c r="Q1" s="34"/>
      <c r="R1" s="30"/>
      <c r="S1" s="30"/>
      <c r="T1" s="30"/>
      <c r="U1" s="30"/>
      <c r="V1" s="30"/>
      <c r="W1" s="30"/>
    </row>
    <row r="2" spans="1:24" ht="30" customHeight="1" x14ac:dyDescent="0.35">
      <c r="A2" s="36"/>
      <c r="B2" s="36"/>
      <c r="C2" s="36"/>
      <c r="D2" s="36"/>
      <c r="E2" s="36"/>
      <c r="F2" s="36"/>
      <c r="G2" s="36"/>
      <c r="H2" s="36"/>
      <c r="I2" s="36"/>
      <c r="J2" s="36"/>
      <c r="K2" s="36"/>
      <c r="L2" s="36"/>
      <c r="M2" s="36"/>
      <c r="N2" s="36"/>
      <c r="O2" s="36"/>
      <c r="P2" s="37"/>
      <c r="Q2" s="38"/>
      <c r="R2" s="36"/>
      <c r="S2" s="36"/>
      <c r="T2" s="36"/>
      <c r="U2" s="36"/>
      <c r="V2" s="36"/>
      <c r="W2" s="36"/>
      <c r="X2" s="39" t="s">
        <v>0</v>
      </c>
    </row>
    <row r="3" spans="1:24" ht="14.5" x14ac:dyDescent="0.35">
      <c r="V3" s="156" t="s">
        <v>0</v>
      </c>
    </row>
    <row r="4" spans="1:24" ht="21" x14ac:dyDescent="0.5">
      <c r="C4" s="42" t="s">
        <v>87</v>
      </c>
      <c r="P4" s="41"/>
    </row>
    <row r="5" spans="1:24" ht="14.5" x14ac:dyDescent="0.35">
      <c r="P5" s="41"/>
    </row>
    <row r="6" spans="1:24" ht="14.5" x14ac:dyDescent="0.35">
      <c r="C6" s="43" t="s">
        <v>88</v>
      </c>
      <c r="P6" s="41"/>
    </row>
    <row r="7" spans="1:24" ht="14.5" x14ac:dyDescent="0.35">
      <c r="P7" s="41"/>
    </row>
    <row r="8" spans="1:24" ht="14.5" x14ac:dyDescent="0.35">
      <c r="C8" s="44" t="s">
        <v>59</v>
      </c>
      <c r="D8" s="45"/>
      <c r="E8" s="45"/>
      <c r="F8" s="45"/>
      <c r="G8" s="45"/>
      <c r="H8" s="46"/>
      <c r="I8" s="47"/>
      <c r="J8" s="47"/>
      <c r="K8" s="47"/>
      <c r="L8" s="47"/>
      <c r="M8" s="47"/>
      <c r="N8" s="47"/>
      <c r="O8" s="48"/>
      <c r="P8" s="41"/>
    </row>
    <row r="9" spans="1:24" ht="14.5" x14ac:dyDescent="0.35">
      <c r="C9" s="49" t="s">
        <v>89</v>
      </c>
      <c r="D9" s="50"/>
      <c r="E9" s="50"/>
      <c r="F9" s="50"/>
      <c r="G9" s="50"/>
      <c r="H9" s="50"/>
      <c r="I9" s="36"/>
      <c r="J9" s="36"/>
      <c r="K9" s="36"/>
      <c r="L9" s="36"/>
      <c r="M9" s="36"/>
      <c r="N9" s="36"/>
      <c r="O9" s="36"/>
      <c r="P9" s="41"/>
    </row>
    <row r="10" spans="1:24" ht="14.5" x14ac:dyDescent="0.35">
      <c r="C10" s="51" t="s">
        <v>90</v>
      </c>
      <c r="D10" s="52"/>
      <c r="E10" s="52"/>
      <c r="F10" s="52"/>
      <c r="G10" s="52"/>
      <c r="H10" s="52"/>
      <c r="I10" s="53"/>
      <c r="J10" s="53"/>
      <c r="K10" s="53"/>
      <c r="L10" s="53"/>
      <c r="M10" s="53"/>
      <c r="N10" s="53"/>
      <c r="O10" s="53"/>
      <c r="P10" s="41"/>
    </row>
    <row r="11" spans="1:24" ht="14.5" x14ac:dyDescent="0.35">
      <c r="P11" s="41"/>
    </row>
    <row r="12" spans="1:24" ht="14.5" x14ac:dyDescent="0.35">
      <c r="C12" t="s">
        <v>91</v>
      </c>
      <c r="D12" s="54">
        <v>10000000</v>
      </c>
      <c r="F12" t="s">
        <v>92</v>
      </c>
      <c r="P12" s="41"/>
    </row>
    <row r="13" spans="1:24" ht="14.5" x14ac:dyDescent="0.35">
      <c r="C13" t="s">
        <v>93</v>
      </c>
      <c r="D13" s="55">
        <v>0.4</v>
      </c>
      <c r="F13" t="s">
        <v>94</v>
      </c>
      <c r="P13" s="41"/>
    </row>
    <row r="14" spans="1:24" ht="14.5" x14ac:dyDescent="0.35">
      <c r="P14" s="41"/>
    </row>
    <row r="15" spans="1:24" ht="14.5" x14ac:dyDescent="0.35">
      <c r="C15" s="51" t="s">
        <v>95</v>
      </c>
      <c r="D15" s="52"/>
      <c r="E15" s="52"/>
      <c r="F15" s="52"/>
      <c r="G15" s="52"/>
      <c r="H15" s="52"/>
      <c r="I15" s="53"/>
      <c r="J15" s="53"/>
      <c r="K15" s="53"/>
      <c r="L15" s="53"/>
      <c r="M15" s="53"/>
      <c r="N15" s="53"/>
      <c r="O15" s="53"/>
      <c r="P15" s="41"/>
    </row>
    <row r="16" spans="1:24" ht="14.5" x14ac:dyDescent="0.35">
      <c r="P16" s="41"/>
    </row>
    <row r="17" spans="3:16" ht="14.5" x14ac:dyDescent="0.35">
      <c r="C17" t="s">
        <v>96</v>
      </c>
      <c r="D17" s="55">
        <v>0.3</v>
      </c>
      <c r="F17" t="s">
        <v>97</v>
      </c>
      <c r="P17" s="41"/>
    </row>
    <row r="18" spans="3:16" ht="14.5" x14ac:dyDescent="0.35">
      <c r="C18" t="s">
        <v>98</v>
      </c>
      <c r="D18" s="56">
        <v>0.05</v>
      </c>
      <c r="F18" t="s">
        <v>99</v>
      </c>
      <c r="P18" s="41"/>
    </row>
    <row r="19" spans="3:16" ht="14.5" x14ac:dyDescent="0.35">
      <c r="F19" t="s">
        <v>100</v>
      </c>
      <c r="P19" s="41"/>
    </row>
    <row r="20" spans="3:16" ht="14.5" x14ac:dyDescent="0.35">
      <c r="P20" s="41"/>
    </row>
    <row r="21" spans="3:16" ht="14.5" x14ac:dyDescent="0.35">
      <c r="C21" s="57" t="s">
        <v>101</v>
      </c>
      <c r="D21" s="58"/>
      <c r="E21" s="58"/>
      <c r="F21" s="58"/>
      <c r="G21" s="58"/>
      <c r="H21" s="58"/>
      <c r="I21" s="58"/>
      <c r="J21" s="58"/>
      <c r="K21" s="58"/>
      <c r="L21" s="58"/>
      <c r="M21" s="58"/>
      <c r="N21" s="58"/>
      <c r="O21" s="59"/>
      <c r="P21" s="41"/>
    </row>
    <row r="22" spans="3:16" ht="14.5" x14ac:dyDescent="0.35">
      <c r="C22" s="60" t="s">
        <v>102</v>
      </c>
      <c r="D22" s="61" t="s">
        <v>103</v>
      </c>
      <c r="F22" s="62" t="s">
        <v>104</v>
      </c>
      <c r="O22" s="63"/>
      <c r="P22" s="41"/>
    </row>
    <row r="23" spans="3:16" ht="14.5" x14ac:dyDescent="0.35">
      <c r="C23" s="60" t="s">
        <v>96</v>
      </c>
      <c r="D23" s="64" t="str">
        <f>+IF(D22="Select…","",VLOOKUP(D22,'Appendix - Calculations'!$B$142:$F$145,2,FALSE))</f>
        <v/>
      </c>
      <c r="O23" s="63"/>
      <c r="P23" s="41"/>
    </row>
    <row r="24" spans="3:16" ht="14.5" x14ac:dyDescent="0.35">
      <c r="C24" s="65" t="s">
        <v>105</v>
      </c>
      <c r="D24" s="66" t="str">
        <f>+IF(D22="Select…","",VLOOKUP(D22,'Appendix - Calculations'!$B$142:$F$145,5,FALSE))</f>
        <v/>
      </c>
      <c r="E24" s="67"/>
      <c r="F24" s="67"/>
      <c r="G24" s="67"/>
      <c r="H24" s="67"/>
      <c r="I24" s="67"/>
      <c r="J24" s="67"/>
      <c r="K24" s="67"/>
      <c r="L24" s="67"/>
      <c r="M24" s="67"/>
      <c r="N24" s="67"/>
      <c r="O24" s="68"/>
      <c r="P24" s="41"/>
    </row>
    <row r="25" spans="3:16" ht="14.5" x14ac:dyDescent="0.35">
      <c r="P25" s="41"/>
    </row>
    <row r="26" spans="3:16" ht="14.5" x14ac:dyDescent="0.35">
      <c r="C26" s="51" t="s">
        <v>106</v>
      </c>
      <c r="D26" s="52"/>
      <c r="E26" s="52"/>
      <c r="F26" s="52"/>
      <c r="G26" s="52"/>
      <c r="H26" s="52"/>
      <c r="I26" s="53"/>
      <c r="J26" s="53"/>
      <c r="K26" s="53"/>
      <c r="L26" s="53"/>
      <c r="M26" s="53"/>
      <c r="N26" s="53"/>
      <c r="O26" s="53"/>
      <c r="P26" s="41"/>
    </row>
    <row r="27" spans="3:16" ht="14.5" x14ac:dyDescent="0.35">
      <c r="P27" s="41"/>
    </row>
    <row r="28" spans="3:16" ht="14.5" x14ac:dyDescent="0.35">
      <c r="C28" t="s">
        <v>107</v>
      </c>
      <c r="D28" s="69">
        <v>50000</v>
      </c>
      <c r="E28" s="70" t="str">
        <f>IF(D28&lt;0,"Warning","")</f>
        <v/>
      </c>
      <c r="F28" s="13" t="s">
        <v>108</v>
      </c>
      <c r="P28" s="41"/>
    </row>
    <row r="29" spans="3:16" ht="14.5" x14ac:dyDescent="0.35">
      <c r="C29" t="s">
        <v>109</v>
      </c>
      <c r="D29" s="54">
        <v>100000</v>
      </c>
      <c r="E29" s="70" t="str">
        <f>IF(D29&lt;0,"Warning","")</f>
        <v/>
      </c>
      <c r="F29" t="s">
        <v>110</v>
      </c>
      <c r="P29" s="41"/>
    </row>
    <row r="30" spans="3:16" ht="14.5" x14ac:dyDescent="0.35">
      <c r="F30" t="s">
        <v>111</v>
      </c>
      <c r="P30" s="41"/>
    </row>
    <row r="31" spans="3:16" ht="14.5" x14ac:dyDescent="0.35">
      <c r="P31" s="41"/>
    </row>
    <row r="32" spans="3:16" ht="14.5" x14ac:dyDescent="0.35">
      <c r="C32" s="51" t="s">
        <v>112</v>
      </c>
      <c r="D32" s="52"/>
      <c r="E32" s="52"/>
      <c r="F32" s="52"/>
      <c r="G32" s="52"/>
      <c r="H32" s="52"/>
      <c r="I32" s="53"/>
      <c r="J32" s="53"/>
      <c r="K32" s="53"/>
      <c r="L32" s="53"/>
      <c r="M32" s="53"/>
      <c r="N32" s="53"/>
      <c r="O32" s="53"/>
      <c r="P32" s="41"/>
    </row>
    <row r="33" spans="2:17" ht="14.5" x14ac:dyDescent="0.35">
      <c r="P33" s="41"/>
    </row>
    <row r="34" spans="2:17" s="71" customFormat="1" ht="14.5" x14ac:dyDescent="0.35">
      <c r="C34" s="72"/>
      <c r="D34" s="73"/>
      <c r="F34" s="225" t="s">
        <v>113</v>
      </c>
      <c r="G34" s="225"/>
      <c r="H34" s="225"/>
      <c r="P34" s="41"/>
      <c r="Q34" s="74"/>
    </row>
    <row r="35" spans="2:17" ht="14.5" x14ac:dyDescent="0.35">
      <c r="D35" s="75" t="s">
        <v>114</v>
      </c>
      <c r="F35" s="76" t="s">
        <v>115</v>
      </c>
      <c r="G35" s="76" t="s">
        <v>116</v>
      </c>
      <c r="H35" s="76" t="s">
        <v>117</v>
      </c>
      <c r="P35" s="41"/>
    </row>
    <row r="36" spans="2:17" ht="14.5" x14ac:dyDescent="0.35">
      <c r="C36" t="s">
        <v>118</v>
      </c>
      <c r="D36" s="56">
        <v>0.3</v>
      </c>
      <c r="E36" s="70" t="str">
        <f>IF(D36&lt;0,"Warning","")</f>
        <v/>
      </c>
      <c r="F36" s="77">
        <f>+IF(D132&gt;0,D12/D132,0)</f>
        <v>100</v>
      </c>
      <c r="G36" s="77">
        <f>+D36*F36</f>
        <v>30</v>
      </c>
      <c r="H36" s="77">
        <f>+F36+G36</f>
        <v>130</v>
      </c>
      <c r="I36" s="11" t="s">
        <v>119</v>
      </c>
      <c r="P36" s="41"/>
    </row>
    <row r="37" spans="2:17" ht="14.5" x14ac:dyDescent="0.35">
      <c r="F37" s="77"/>
      <c r="G37" s="77"/>
      <c r="H37" s="77"/>
      <c r="I37" s="78" t="s">
        <v>120</v>
      </c>
      <c r="P37" s="41"/>
    </row>
    <row r="38" spans="2:17" ht="14.5" x14ac:dyDescent="0.35">
      <c r="D38" s="79"/>
      <c r="F38" s="77"/>
      <c r="G38" s="77"/>
      <c r="H38" s="77"/>
      <c r="I38" s="11"/>
      <c r="P38" s="41"/>
    </row>
    <row r="39" spans="2:17" ht="14.5" x14ac:dyDescent="0.35">
      <c r="C39" s="57" t="s">
        <v>101</v>
      </c>
      <c r="D39" s="58"/>
      <c r="E39" s="58"/>
      <c r="F39" s="58"/>
      <c r="G39" s="58"/>
      <c r="H39" s="58"/>
      <c r="I39" s="58"/>
      <c r="J39" s="58"/>
      <c r="K39" s="58"/>
      <c r="L39" s="58"/>
      <c r="M39" s="58"/>
      <c r="N39" s="58"/>
      <c r="O39" s="59"/>
      <c r="P39" s="41"/>
    </row>
    <row r="40" spans="2:17" ht="14.5" x14ac:dyDescent="0.35">
      <c r="C40" s="60" t="s">
        <v>102</v>
      </c>
      <c r="D40" s="61" t="s">
        <v>103</v>
      </c>
      <c r="F40" s="62" t="s">
        <v>104</v>
      </c>
      <c r="O40" s="63"/>
      <c r="P40" s="41"/>
    </row>
    <row r="41" spans="2:17" s="71" customFormat="1" ht="14.5" x14ac:dyDescent="0.35">
      <c r="C41" s="65" t="s">
        <v>118</v>
      </c>
      <c r="D41" s="66" t="str">
        <f>+IF(D40="Select…","",VLOOKUP(D40,'Appendix - Calculations'!$B$142:$F$145,4,FALSE))</f>
        <v/>
      </c>
      <c r="E41" s="80"/>
      <c r="F41" s="80"/>
      <c r="G41" s="80"/>
      <c r="H41" s="80"/>
      <c r="I41" s="80"/>
      <c r="J41" s="80"/>
      <c r="K41" s="80"/>
      <c r="L41" s="80"/>
      <c r="M41" s="80"/>
      <c r="N41" s="80"/>
      <c r="O41" s="81"/>
      <c r="P41" s="41"/>
      <c r="Q41" s="74"/>
    </row>
    <row r="42" spans="2:17" ht="14.5" x14ac:dyDescent="0.35">
      <c r="P42" s="41"/>
    </row>
    <row r="43" spans="2:17" ht="14.5" x14ac:dyDescent="0.35">
      <c r="B43" s="82"/>
      <c r="C43" s="83" t="s">
        <v>52</v>
      </c>
      <c r="D43" s="45"/>
      <c r="E43" s="45"/>
      <c r="F43" s="45"/>
      <c r="G43" s="45"/>
      <c r="H43" s="45"/>
      <c r="I43" s="47"/>
      <c r="J43" s="47"/>
      <c r="K43" s="47"/>
      <c r="L43" s="47"/>
      <c r="M43" s="47"/>
      <c r="N43" s="47"/>
      <c r="O43" s="48"/>
      <c r="P43" s="41"/>
    </row>
    <row r="44" spans="2:17" ht="14.5" x14ac:dyDescent="0.35">
      <c r="B44" s="84"/>
      <c r="C44" s="83" t="s">
        <v>121</v>
      </c>
      <c r="D44" s="50"/>
      <c r="E44" s="50"/>
      <c r="F44" s="50"/>
      <c r="G44" s="50"/>
      <c r="H44" s="50"/>
      <c r="I44" s="36"/>
      <c r="J44" s="36"/>
      <c r="K44" s="36"/>
      <c r="L44" s="36"/>
      <c r="M44" s="36"/>
      <c r="N44" s="36"/>
      <c r="O44" s="85"/>
      <c r="P44" s="41"/>
    </row>
    <row r="45" spans="2:17" s="91" customFormat="1" ht="14.5" x14ac:dyDescent="0.35">
      <c r="B45" s="86"/>
      <c r="C45" s="87" t="s">
        <v>122</v>
      </c>
      <c r="D45" s="88"/>
      <c r="E45" s="88"/>
      <c r="F45" s="89"/>
      <c r="G45" s="88"/>
      <c r="H45" s="88"/>
      <c r="I45" s="88"/>
      <c r="J45" s="88"/>
      <c r="K45" s="88"/>
      <c r="L45" s="88"/>
      <c r="M45" s="88"/>
      <c r="N45" s="88"/>
      <c r="O45" s="90"/>
      <c r="P45" s="41"/>
      <c r="Q45" s="40"/>
    </row>
    <row r="46" spans="2:17" ht="14.5" x14ac:dyDescent="0.35">
      <c r="B46" s="92"/>
      <c r="C46" t="s">
        <v>123</v>
      </c>
      <c r="D46" s="93">
        <v>2</v>
      </c>
      <c r="O46" s="94"/>
      <c r="P46" s="41"/>
    </row>
    <row r="47" spans="2:17" ht="14.5" x14ac:dyDescent="0.35">
      <c r="B47" s="92"/>
      <c r="O47" s="94"/>
      <c r="P47" s="41"/>
    </row>
    <row r="48" spans="2:17" s="91" customFormat="1" ht="14.5" x14ac:dyDescent="0.35">
      <c r="B48" s="95"/>
      <c r="C48" s="96"/>
      <c r="D48" s="97">
        <v>1</v>
      </c>
      <c r="E48" s="97">
        <v>2</v>
      </c>
      <c r="F48" s="97">
        <v>3</v>
      </c>
      <c r="G48" s="97">
        <v>4</v>
      </c>
      <c r="H48" s="97">
        <v>5</v>
      </c>
      <c r="I48" s="98" t="s">
        <v>124</v>
      </c>
      <c r="O48" s="99"/>
      <c r="P48" s="41"/>
      <c r="Q48" s="40"/>
    </row>
    <row r="49" spans="2:17" s="91" customFormat="1" ht="14.5" x14ac:dyDescent="0.35">
      <c r="B49" s="95"/>
      <c r="C49" s="100" t="s">
        <v>125</v>
      </c>
      <c r="D49" s="88"/>
      <c r="E49" s="88"/>
      <c r="F49" s="88"/>
      <c r="G49" s="88"/>
      <c r="H49" s="88"/>
      <c r="I49" s="88"/>
      <c r="J49" s="88"/>
      <c r="K49" s="88"/>
      <c r="L49" s="88"/>
      <c r="M49" s="101"/>
      <c r="N49" s="101"/>
      <c r="O49" s="90"/>
      <c r="P49" s="41"/>
      <c r="Q49" s="40"/>
    </row>
    <row r="50" spans="2:17" s="91" customFormat="1" ht="14.5" x14ac:dyDescent="0.35">
      <c r="B50" s="95"/>
      <c r="C50" s="91" t="s">
        <v>126</v>
      </c>
      <c r="D50" s="102">
        <f>+'Appendix - Calculations'!C87-'Appendix - Calculations'!C48</f>
        <v>900000</v>
      </c>
      <c r="E50" s="102">
        <f>+'Appendix - Calculations'!D87-'Appendix - Calculations'!D48</f>
        <v>1017000</v>
      </c>
      <c r="F50" s="102">
        <f>+'Appendix - Calculations'!E87-'Appendix - Calculations'!E48</f>
        <v>0</v>
      </c>
      <c r="G50" s="102">
        <f>+'Appendix - Calculations'!F87-'Appendix - Calculations'!F48</f>
        <v>0</v>
      </c>
      <c r="H50" s="102">
        <f>+'Appendix - Calculations'!G87-'Appendix - Calculations'!G48</f>
        <v>0</v>
      </c>
      <c r="I50" s="103">
        <f>SUM(D50:H50)</f>
        <v>1917000</v>
      </c>
      <c r="J50" s="104" t="s">
        <v>127</v>
      </c>
      <c r="O50" s="99"/>
      <c r="P50" s="41"/>
      <c r="Q50" s="40"/>
    </row>
    <row r="51" spans="2:17" ht="14.5" x14ac:dyDescent="0.35">
      <c r="B51" s="92"/>
      <c r="C51" s="105" t="s">
        <v>128</v>
      </c>
      <c r="D51" s="106">
        <f>+D50*$D$13</f>
        <v>360000</v>
      </c>
      <c r="E51" s="106">
        <f>+E50*$D$13</f>
        <v>406800</v>
      </c>
      <c r="F51" s="106">
        <f>+F50*$D$13</f>
        <v>0</v>
      </c>
      <c r="G51" s="106">
        <f>+G50*$D$13</f>
        <v>0</v>
      </c>
      <c r="H51" s="106">
        <f>+H50*$D$13</f>
        <v>0</v>
      </c>
      <c r="I51" s="107">
        <f>SUM(D51:H51)</f>
        <v>766800</v>
      </c>
      <c r="J51" s="62" t="s">
        <v>129</v>
      </c>
      <c r="O51" s="94"/>
      <c r="P51" s="41"/>
    </row>
    <row r="52" spans="2:17" ht="14.5" x14ac:dyDescent="0.35">
      <c r="B52" s="92"/>
      <c r="D52" s="108"/>
      <c r="E52" s="108"/>
      <c r="F52" s="108"/>
      <c r="G52" s="108"/>
      <c r="H52" s="108"/>
      <c r="I52" s="109"/>
      <c r="O52" s="94"/>
      <c r="P52" s="41"/>
    </row>
    <row r="53" spans="2:17" ht="14.5" x14ac:dyDescent="0.35">
      <c r="B53" s="92"/>
      <c r="C53" s="110" t="s">
        <v>130</v>
      </c>
      <c r="D53" s="108"/>
      <c r="E53" s="108"/>
      <c r="F53" s="108"/>
      <c r="G53" s="108"/>
      <c r="H53" s="108"/>
      <c r="I53" s="109"/>
      <c r="O53" s="94"/>
      <c r="P53" s="41"/>
    </row>
    <row r="54" spans="2:17" ht="14.5" x14ac:dyDescent="0.35">
      <c r="B54" s="92"/>
      <c r="C54" s="18" t="s">
        <v>131</v>
      </c>
      <c r="D54" s="108">
        <f>('Appendix - Calculations'!C87*($D$18+$D$118))*(1-$D$121)*(1-$D$124)</f>
        <v>195000</v>
      </c>
      <c r="E54" s="108">
        <f>('Appendix - Calculations'!D87*($D$18+$D$118))*(1-$D$121)*(1-$D$124)</f>
        <v>200850</v>
      </c>
      <c r="F54" s="108">
        <f>('Appendix - Calculations'!E87*($D$18+$D$118))*(1-$D$121)*(1-$D$124)</f>
        <v>0</v>
      </c>
      <c r="G54" s="108">
        <f>('Appendix - Calculations'!F87*($D$18+$D$118))*(1-$D$121)*(1-$D$124)</f>
        <v>0</v>
      </c>
      <c r="H54" s="108">
        <f>('Appendix - Calculations'!G87*($D$18+$D$118))*(1-$D$121)*(1-$D$124)</f>
        <v>0</v>
      </c>
      <c r="I54" s="109">
        <f>SUM(D54:H54)</f>
        <v>395850</v>
      </c>
      <c r="J54" s="62" t="s">
        <v>132</v>
      </c>
      <c r="O54" s="94"/>
      <c r="P54" s="41"/>
    </row>
    <row r="55" spans="2:17" ht="14.5" x14ac:dyDescent="0.35">
      <c r="B55" s="92"/>
      <c r="C55" s="18" t="s">
        <v>133</v>
      </c>
      <c r="D55" s="108">
        <f>+$D$28</f>
        <v>50000</v>
      </c>
      <c r="E55" s="108"/>
      <c r="F55" s="108"/>
      <c r="G55" s="108"/>
      <c r="H55" s="108"/>
      <c r="I55" s="109">
        <f>SUM(D55:H55)</f>
        <v>50000</v>
      </c>
      <c r="J55" s="62" t="s">
        <v>134</v>
      </c>
      <c r="O55" s="94"/>
      <c r="P55" s="41"/>
    </row>
    <row r="56" spans="2:17" ht="14.5" x14ac:dyDescent="0.35">
      <c r="B56" s="92"/>
      <c r="C56" s="18" t="s">
        <v>135</v>
      </c>
      <c r="D56" s="108">
        <f>(+$D$29)</f>
        <v>100000</v>
      </c>
      <c r="E56" s="108">
        <f>((+$D$29))*('Appendix - Calculations'!D$4)</f>
        <v>100000</v>
      </c>
      <c r="F56" s="108">
        <f>((+$D$29))*('Appendix - Calculations'!E$4)</f>
        <v>0</v>
      </c>
      <c r="G56" s="108">
        <f>((+$D$29))*('Appendix - Calculations'!F$4)</f>
        <v>0</v>
      </c>
      <c r="H56" s="108">
        <f>((+$D$29))*('Appendix - Calculations'!G$4)</f>
        <v>0</v>
      </c>
      <c r="I56" s="109">
        <f>SUM(D56:H56)</f>
        <v>200000</v>
      </c>
      <c r="J56" s="62" t="s">
        <v>136</v>
      </c>
      <c r="O56" s="94"/>
      <c r="P56" s="41"/>
    </row>
    <row r="57" spans="2:17" ht="14.5" x14ac:dyDescent="0.35">
      <c r="B57" s="92"/>
      <c r="C57" s="111" t="s">
        <v>137</v>
      </c>
      <c r="D57" s="106">
        <f>SUM(D54:D56)</f>
        <v>345000</v>
      </c>
      <c r="E57" s="106">
        <f>SUM(E54:E56)</f>
        <v>300850</v>
      </c>
      <c r="F57" s="106">
        <f>SUM(F54:F56)</f>
        <v>0</v>
      </c>
      <c r="G57" s="106">
        <f>SUM(G54:G56)</f>
        <v>0</v>
      </c>
      <c r="H57" s="106">
        <f>SUM(H54:H56)</f>
        <v>0</v>
      </c>
      <c r="I57" s="107">
        <f>SUM(D57:H57)</f>
        <v>645850</v>
      </c>
      <c r="O57" s="94"/>
      <c r="P57" s="41"/>
    </row>
    <row r="58" spans="2:17" ht="14.5" x14ac:dyDescent="0.35">
      <c r="B58" s="92"/>
      <c r="C58" s="111" t="s">
        <v>138</v>
      </c>
      <c r="D58" s="106">
        <f>+'Appendix - Calculations'!C20+'Appendix - Calculations'!C21</f>
        <v>0</v>
      </c>
      <c r="E58" s="106">
        <f>+'Appendix - Calculations'!D20+'Appendix - Calculations'!D21</f>
        <v>0</v>
      </c>
      <c r="F58" s="106">
        <f>+'Appendix - Calculations'!E20+'Appendix - Calculations'!E21</f>
        <v>0</v>
      </c>
      <c r="G58" s="106">
        <f>+'Appendix - Calculations'!F20+'Appendix - Calculations'!F21</f>
        <v>0</v>
      </c>
      <c r="H58" s="106">
        <f>+'Appendix - Calculations'!G20+'Appendix - Calculations'!G21</f>
        <v>0</v>
      </c>
      <c r="I58" s="106">
        <f>+SUM('Appendix - Calculations'!H20:H21)</f>
        <v>0</v>
      </c>
      <c r="J58" s="106" t="s">
        <v>139</v>
      </c>
      <c r="O58" s="94"/>
      <c r="P58" s="41"/>
    </row>
    <row r="59" spans="2:17" ht="14.5" x14ac:dyDescent="0.35">
      <c r="B59" s="92"/>
      <c r="C59" s="11"/>
      <c r="D59" s="108"/>
      <c r="E59" s="108"/>
      <c r="F59" s="108"/>
      <c r="G59" s="108"/>
      <c r="H59" s="108"/>
      <c r="I59" s="109"/>
      <c r="O59" s="94"/>
      <c r="P59" s="41"/>
    </row>
    <row r="60" spans="2:17" ht="14.5" x14ac:dyDescent="0.35">
      <c r="B60" s="92"/>
      <c r="C60" s="105" t="s">
        <v>140</v>
      </c>
      <c r="D60" s="106">
        <f>+D57-D58</f>
        <v>345000</v>
      </c>
      <c r="E60" s="106">
        <f>+E57-E58</f>
        <v>300850</v>
      </c>
      <c r="F60" s="106">
        <f>+F57-F58</f>
        <v>0</v>
      </c>
      <c r="G60" s="106">
        <f>+G57-G58</f>
        <v>0</v>
      </c>
      <c r="H60" s="106">
        <f>+H57-H58</f>
        <v>0</v>
      </c>
      <c r="I60" s="107">
        <f>SUM(D60:H60)</f>
        <v>645850</v>
      </c>
      <c r="J60" s="62" t="s">
        <v>141</v>
      </c>
      <c r="O60" s="94"/>
      <c r="P60" s="41"/>
    </row>
    <row r="61" spans="2:17" ht="14.5" x14ac:dyDescent="0.35">
      <c r="B61" s="92"/>
      <c r="D61" s="108"/>
      <c r="E61" s="108"/>
      <c r="F61" s="108"/>
      <c r="G61" s="108"/>
      <c r="H61" s="108"/>
      <c r="I61" s="109"/>
      <c r="J61" s="62"/>
      <c r="O61" s="94"/>
      <c r="P61" s="41"/>
    </row>
    <row r="62" spans="2:17" ht="14.5" x14ac:dyDescent="0.35">
      <c r="B62" s="92"/>
      <c r="C62" s="112" t="s">
        <v>142</v>
      </c>
      <c r="D62" s="107">
        <f>+D51-D60</f>
        <v>15000</v>
      </c>
      <c r="E62" s="107">
        <f>+E51-E60</f>
        <v>105950</v>
      </c>
      <c r="F62" s="107">
        <f>+F51-F60</f>
        <v>0</v>
      </c>
      <c r="G62" s="107">
        <f>+G51-G60</f>
        <v>0</v>
      </c>
      <c r="H62" s="107">
        <f>+H51-H60</f>
        <v>0</v>
      </c>
      <c r="I62" s="107">
        <f>SUM(D62:H62)</f>
        <v>120950</v>
      </c>
      <c r="J62" s="62" t="str">
        <f>"Over "&amp;TEXT(D46,"0")&amp;" years"</f>
        <v>Over 2 years</v>
      </c>
      <c r="O62" s="94"/>
      <c r="P62" s="41"/>
    </row>
    <row r="63" spans="2:17" ht="14.5" x14ac:dyDescent="0.35">
      <c r="B63" s="92"/>
      <c r="C63" s="96"/>
      <c r="D63" s="109"/>
      <c r="E63" s="109"/>
      <c r="F63" s="109"/>
      <c r="G63" s="109"/>
      <c r="O63" s="94"/>
      <c r="P63" s="41"/>
    </row>
    <row r="64" spans="2:17" ht="14.5" x14ac:dyDescent="0.35">
      <c r="B64" s="92"/>
      <c r="C64" s="96" t="s">
        <v>143</v>
      </c>
      <c r="D64" s="113">
        <f>IFERROR(I62/I57,"na")</f>
        <v>0.18727258651389642</v>
      </c>
      <c r="E64" s="109"/>
      <c r="F64" s="109"/>
      <c r="G64" s="109"/>
      <c r="H64" s="96"/>
      <c r="I64" s="114"/>
      <c r="O64" s="94"/>
      <c r="P64" s="41"/>
    </row>
    <row r="65" spans="2:16" ht="14.5" x14ac:dyDescent="0.35">
      <c r="B65" s="92"/>
      <c r="C65" s="96" t="s">
        <v>144</v>
      </c>
      <c r="D65" s="115">
        <f>'Appendix - Calculations'!$H$137</f>
        <v>9.2307692307692317</v>
      </c>
      <c r="E65" s="109"/>
      <c r="F65" s="109"/>
      <c r="G65" s="109"/>
      <c r="H65" s="96"/>
      <c r="I65" s="114"/>
      <c r="O65" s="94"/>
      <c r="P65" s="41"/>
    </row>
    <row r="66" spans="2:16" ht="14.5" x14ac:dyDescent="0.35">
      <c r="B66" s="92"/>
      <c r="C66" s="96"/>
      <c r="D66" s="109"/>
      <c r="E66" s="109"/>
      <c r="F66" s="109"/>
      <c r="G66" s="109"/>
      <c r="H66" s="96"/>
      <c r="I66" s="114"/>
      <c r="O66" s="94"/>
      <c r="P66" s="41"/>
    </row>
    <row r="67" spans="2:16" ht="14.5" x14ac:dyDescent="0.35">
      <c r="B67" s="92"/>
      <c r="C67" s="87" t="s">
        <v>145</v>
      </c>
      <c r="D67" s="88"/>
      <c r="E67" s="88"/>
      <c r="F67" s="89"/>
      <c r="G67" s="88"/>
      <c r="H67" s="88"/>
      <c r="I67" s="88"/>
      <c r="J67" s="88"/>
      <c r="K67" s="88"/>
      <c r="L67" s="88"/>
      <c r="M67" s="88"/>
      <c r="N67" s="88"/>
      <c r="O67" s="90"/>
      <c r="P67" s="41"/>
    </row>
    <row r="68" spans="2:16" ht="14.5" x14ac:dyDescent="0.35">
      <c r="B68" s="92"/>
      <c r="C68" s="8"/>
      <c r="D68" s="91"/>
      <c r="E68" s="91"/>
      <c r="F68" s="116"/>
      <c r="G68" s="91"/>
      <c r="H68" s="91"/>
      <c r="I68" s="91"/>
      <c r="J68" s="91"/>
      <c r="K68" s="91"/>
      <c r="L68" s="91"/>
      <c r="M68" s="91"/>
      <c r="N68" s="91"/>
      <c r="O68" s="99"/>
      <c r="P68" s="41"/>
    </row>
    <row r="69" spans="2:16" ht="14.5" x14ac:dyDescent="0.35">
      <c r="B69" s="92"/>
      <c r="C69" s="8" t="s">
        <v>146</v>
      </c>
      <c r="D69" s="91"/>
      <c r="E69" s="91"/>
      <c r="F69" s="116"/>
      <c r="G69" s="91"/>
      <c r="H69" s="91"/>
      <c r="I69" s="91"/>
      <c r="J69" s="91"/>
      <c r="K69" s="91"/>
      <c r="L69" s="91"/>
      <c r="M69" s="91"/>
      <c r="N69" s="91"/>
      <c r="O69" s="99"/>
      <c r="P69" s="41"/>
    </row>
    <row r="70" spans="2:16" ht="14.5" x14ac:dyDescent="0.35">
      <c r="B70" s="92"/>
      <c r="C70" s="18" t="s">
        <v>133</v>
      </c>
      <c r="D70" s="102">
        <f>+I55</f>
        <v>50000</v>
      </c>
      <c r="E70" s="91"/>
      <c r="F70" s="116"/>
      <c r="G70" s="91" t="s">
        <v>147</v>
      </c>
      <c r="H70" s="91"/>
      <c r="I70" s="102" cm="1">
        <f t="array" ref="I70">+SUM('Appendix - Calculations'!C45:G45*('Appendix - Calculations'!C51:G51))*D36</f>
        <v>1800000</v>
      </c>
      <c r="J70" s="91"/>
      <c r="K70" s="91"/>
      <c r="L70" s="91"/>
      <c r="M70" s="91"/>
      <c r="N70" s="91"/>
      <c r="O70" s="99"/>
      <c r="P70" s="41"/>
    </row>
    <row r="71" spans="2:16" ht="14.5" x14ac:dyDescent="0.35">
      <c r="B71" s="92"/>
      <c r="C71" s="18" t="s">
        <v>135</v>
      </c>
      <c r="D71" s="102">
        <f>+I56</f>
        <v>200000</v>
      </c>
      <c r="E71" s="91"/>
      <c r="F71" s="116"/>
      <c r="G71" s="91" t="s">
        <v>148</v>
      </c>
      <c r="H71" s="91"/>
      <c r="I71" s="102" cm="1">
        <f t="array" ref="I71">SUM(('Appendix - Calculations'!C63:G63-'Appendix - Calculations'!C45:G45)*'Appendix - Calculations'!C51:G51)</f>
        <v>90000</v>
      </c>
      <c r="J71" s="91"/>
      <c r="K71" s="91"/>
      <c r="L71" s="91"/>
      <c r="M71" s="91"/>
      <c r="N71" s="91"/>
      <c r="O71" s="99"/>
      <c r="P71" s="41"/>
    </row>
    <row r="72" spans="2:16" ht="14.5" x14ac:dyDescent="0.35">
      <c r="B72" s="92"/>
      <c r="C72" s="18" t="s">
        <v>149</v>
      </c>
      <c r="D72" s="102">
        <f>+I54</f>
        <v>395850</v>
      </c>
      <c r="E72" s="91"/>
      <c r="F72" s="116"/>
      <c r="G72" s="91" t="s">
        <v>150</v>
      </c>
      <c r="H72" s="91"/>
      <c r="I72" s="117" cm="1">
        <f t="array" ref="I72">SUM(('Appendix - Calculations'!C63:G63-'Appendix - Calculations'!C45:G45)*('Appendix - Calculations'!C51:G51))*D36</f>
        <v>27000</v>
      </c>
      <c r="J72" s="91"/>
      <c r="K72" s="91"/>
      <c r="L72" s="91"/>
      <c r="M72" s="91"/>
      <c r="N72" s="91"/>
      <c r="O72" s="99"/>
      <c r="P72" s="41"/>
    </row>
    <row r="73" spans="2:16" ht="14.5" x14ac:dyDescent="0.35">
      <c r="B73" s="92"/>
      <c r="C73" s="18" t="s">
        <v>151</v>
      </c>
      <c r="D73" s="102">
        <f>-I58</f>
        <v>0</v>
      </c>
      <c r="E73" s="91"/>
      <c r="F73" s="116"/>
      <c r="G73" s="104" t="s">
        <v>152</v>
      </c>
      <c r="H73" s="91"/>
      <c r="I73" s="108">
        <f>SUM(I70:I72)</f>
        <v>1917000</v>
      </c>
      <c r="J73" s="91"/>
      <c r="K73" s="91"/>
      <c r="L73" s="91"/>
      <c r="M73" s="91"/>
      <c r="N73" s="91"/>
      <c r="O73" s="99"/>
      <c r="P73" s="41"/>
    </row>
    <row r="74" spans="2:16" ht="14.5" x14ac:dyDescent="0.35">
      <c r="B74" s="92"/>
      <c r="C74" s="118"/>
      <c r="D74" s="117"/>
      <c r="E74" s="91"/>
      <c r="F74" s="116"/>
      <c r="G74" s="119" t="s">
        <v>153</v>
      </c>
      <c r="H74" s="120"/>
      <c r="I74" s="121">
        <f>+D13</f>
        <v>0.4</v>
      </c>
      <c r="J74" s="91"/>
      <c r="K74" s="91"/>
      <c r="L74" s="91"/>
      <c r="M74" s="91"/>
      <c r="N74" s="91"/>
      <c r="O74" s="99"/>
      <c r="P74" s="41"/>
    </row>
    <row r="75" spans="2:16" ht="14.5" x14ac:dyDescent="0.35">
      <c r="B75" s="92"/>
      <c r="C75" s="9" t="s">
        <v>154</v>
      </c>
      <c r="D75" s="103">
        <f>SUM(D70:D73)</f>
        <v>645850</v>
      </c>
      <c r="E75" s="91"/>
      <c r="F75" s="116"/>
      <c r="G75" s="122" t="s">
        <v>155</v>
      </c>
      <c r="H75" s="103"/>
      <c r="I75" s="103">
        <f>+I73*D13</f>
        <v>766800</v>
      </c>
      <c r="J75" s="91"/>
      <c r="K75" s="103">
        <f>+I75-D75</f>
        <v>120950</v>
      </c>
      <c r="L75" s="104" t="s">
        <v>142</v>
      </c>
      <c r="M75" s="91"/>
      <c r="N75" s="91"/>
      <c r="O75" s="99"/>
      <c r="P75" s="41"/>
    </row>
    <row r="76" spans="2:16" ht="14.5" x14ac:dyDescent="0.35">
      <c r="B76" s="92"/>
      <c r="C76" s="8"/>
      <c r="D76" s="91"/>
      <c r="E76" s="91"/>
      <c r="F76" s="116"/>
      <c r="G76" s="91"/>
      <c r="H76" s="91"/>
      <c r="I76" s="91"/>
      <c r="J76" s="91"/>
      <c r="K76" s="91"/>
      <c r="L76" s="91"/>
      <c r="M76" s="91"/>
      <c r="N76" s="91"/>
      <c r="O76" s="99"/>
      <c r="P76" s="41"/>
    </row>
    <row r="77" spans="2:16" ht="14.5" x14ac:dyDescent="0.35">
      <c r="B77" s="92"/>
      <c r="C77" t="s">
        <v>156</v>
      </c>
      <c r="F77" s="123" cm="1">
        <f t="array" ref="F77">((D70+D71-(-D73))-D13*I71+(SUM('Appendix - Calculations'!C51:G51*'Appendix - Calculations'!C63:G63)*($D$129)))/(D13*((SUM('Appendix - Calculations'!C45:G45*('Appendix - Calculations'!C51:G51)))+(SUM(('Appendix - Calculations'!C63:G63-'Appendix - Calculations'!C45:G45)*('Appendix - Calculations'!C51:G51))))-(SUM('Appendix - Calculations'!C51:G51*'Appendix - Calculations'!C63:G63)*($D$129)))</f>
        <v>0.24325592305887872</v>
      </c>
      <c r="G77" s="11" t="str">
        <f>"to break-even. The model currently has a lift of "&amp;TEXT(D36,"0.0%")&amp;"."</f>
        <v>to break-even. The model currently has a lift of 30.0%.</v>
      </c>
      <c r="O77" s="94"/>
      <c r="P77" s="41"/>
    </row>
    <row r="78" spans="2:16" ht="14.5" x14ac:dyDescent="0.35">
      <c r="B78" s="92"/>
      <c r="C78" t="s">
        <v>157</v>
      </c>
      <c r="F78" s="123">
        <f>-(D70+D71-(-D73)-I75)/('Appendix - Calculations'!H87*(1-D121)*(1-D124))</f>
        <v>6.5277251484148036E-2</v>
      </c>
      <c r="G78" s="11" t="str">
        <f>"in value back as a percent of their spending and break even. The model currently has "&amp;TEXT(D18+D118,"0.0%")&amp;"."</f>
        <v>in value back as a percent of their spending and break even. The model currently has 5.0%.</v>
      </c>
      <c r="O78" s="94"/>
      <c r="P78" s="41"/>
    </row>
    <row r="79" spans="2:16" ht="14.5" x14ac:dyDescent="0.35">
      <c r="B79" s="124"/>
      <c r="C79" s="125"/>
      <c r="D79" s="125"/>
      <c r="E79" s="125"/>
      <c r="F79" s="125"/>
      <c r="G79" s="125"/>
      <c r="H79" s="125"/>
      <c r="I79" s="125"/>
      <c r="J79" s="125"/>
      <c r="K79" s="125"/>
      <c r="L79" s="125"/>
      <c r="M79" s="125"/>
      <c r="N79" s="125"/>
      <c r="O79" s="126"/>
      <c r="P79" s="41"/>
    </row>
    <row r="80" spans="2:16" ht="14.5" x14ac:dyDescent="0.35">
      <c r="B80" s="92"/>
      <c r="C80" s="96"/>
      <c r="F80" s="109"/>
      <c r="G80" s="109"/>
      <c r="H80" s="109"/>
      <c r="I80" s="109"/>
      <c r="J80" s="96"/>
      <c r="K80" s="114"/>
      <c r="O80" s="94"/>
      <c r="P80" s="41"/>
    </row>
    <row r="81" spans="2:16" ht="14.5" x14ac:dyDescent="0.35">
      <c r="B81" s="92"/>
      <c r="C81" s="87" t="s">
        <v>158</v>
      </c>
      <c r="D81" s="88"/>
      <c r="E81" s="88"/>
      <c r="F81" s="89"/>
      <c r="G81" s="88"/>
      <c r="H81" s="88"/>
      <c r="I81" s="88"/>
      <c r="J81" s="88"/>
      <c r="K81" s="88"/>
      <c r="L81" s="88"/>
      <c r="M81" s="88"/>
      <c r="N81" s="88"/>
      <c r="O81" s="90"/>
      <c r="P81" s="41"/>
    </row>
    <row r="82" spans="2:16" ht="14.5" x14ac:dyDescent="0.35">
      <c r="B82" s="92"/>
      <c r="C82" s="127" t="str">
        <f>HYPERLINK("#D119","Only available if the number of active customers has been entered in the Optional inputs section.")</f>
        <v>Only available if the number of active customers has been entered in the Optional inputs section.</v>
      </c>
      <c r="D82" s="128"/>
      <c r="E82" s="128"/>
      <c r="F82" s="128"/>
      <c r="G82" s="128"/>
      <c r="H82" s="129"/>
      <c r="I82" s="129"/>
      <c r="J82" s="129"/>
      <c r="K82" s="129"/>
      <c r="L82" s="129"/>
      <c r="M82" s="129"/>
      <c r="N82" s="129"/>
      <c r="O82" s="130"/>
      <c r="P82" s="41"/>
    </row>
    <row r="83" spans="2:16" ht="14.5" x14ac:dyDescent="0.35">
      <c r="B83" s="92"/>
      <c r="C83" s="104"/>
      <c r="D83" s="91"/>
      <c r="E83" s="91"/>
      <c r="F83" s="91"/>
      <c r="G83" s="91"/>
      <c r="O83" s="94"/>
      <c r="P83" s="41"/>
    </row>
    <row r="84" spans="2:16" ht="14.5" x14ac:dyDescent="0.35">
      <c r="B84" s="92"/>
      <c r="C84" t="s">
        <v>159</v>
      </c>
      <c r="D84" s="131">
        <f>+'Appendix - Calculations'!C105</f>
        <v>130</v>
      </c>
      <c r="F84" t="s">
        <v>160</v>
      </c>
      <c r="O84" s="94"/>
      <c r="P84" s="41"/>
    </row>
    <row r="85" spans="2:16" ht="14.5" x14ac:dyDescent="0.35">
      <c r="B85" s="92"/>
      <c r="C85" t="s">
        <v>161</v>
      </c>
      <c r="D85" s="131">
        <f>+D84*D18</f>
        <v>6.5</v>
      </c>
      <c r="F85" t="s">
        <v>162</v>
      </c>
      <c r="O85" s="94"/>
      <c r="P85" s="41"/>
    </row>
    <row r="86" spans="2:16" ht="14.5" x14ac:dyDescent="0.35">
      <c r="B86" s="92"/>
      <c r="D86" s="132">
        <f>+D84*D118</f>
        <v>0</v>
      </c>
      <c r="F86" t="s">
        <v>163</v>
      </c>
      <c r="O86" s="94"/>
      <c r="P86" s="41"/>
    </row>
    <row r="87" spans="2:16" ht="14.5" x14ac:dyDescent="0.35">
      <c r="B87" s="92"/>
      <c r="C87" t="s">
        <v>164</v>
      </c>
      <c r="D87" s="131">
        <f>+D85+D86</f>
        <v>6.5</v>
      </c>
      <c r="F87" t="str">
        <f>+"equal to "&amp;TEXT(IFERROR(D87/D84,0),"0%")&amp;" percent of their spending"</f>
        <v>equal to 5% percent of their spending</v>
      </c>
      <c r="O87" s="94"/>
      <c r="P87" s="41"/>
    </row>
    <row r="88" spans="2:16" ht="14.5" x14ac:dyDescent="0.35">
      <c r="B88" s="124"/>
      <c r="C88" s="125"/>
      <c r="D88" s="125"/>
      <c r="E88" s="125"/>
      <c r="F88" s="125"/>
      <c r="G88" s="125"/>
      <c r="H88" s="125"/>
      <c r="I88" s="125"/>
      <c r="J88" s="125"/>
      <c r="K88" s="125"/>
      <c r="L88" s="125"/>
      <c r="M88" s="125"/>
      <c r="N88" s="125"/>
      <c r="O88" s="126"/>
      <c r="P88" s="41"/>
    </row>
    <row r="89" spans="2:16" ht="14.5" x14ac:dyDescent="0.35">
      <c r="P89" s="41"/>
    </row>
    <row r="90" spans="2:16" ht="14.5" x14ac:dyDescent="0.35">
      <c r="C90" s="154" t="s">
        <v>53</v>
      </c>
      <c r="D90" s="50"/>
      <c r="E90" s="50"/>
      <c r="F90" s="50"/>
      <c r="G90" s="50"/>
      <c r="H90" s="50"/>
      <c r="I90" s="36"/>
      <c r="J90" s="36"/>
      <c r="K90" s="36"/>
      <c r="L90" s="36"/>
      <c r="M90" s="36"/>
      <c r="N90" s="36"/>
      <c r="O90" s="36"/>
      <c r="P90" s="41"/>
    </row>
    <row r="91" spans="2:16" ht="14.5" x14ac:dyDescent="0.35">
      <c r="C91" s="49" t="s">
        <v>165</v>
      </c>
      <c r="D91" s="50"/>
      <c r="E91" s="50"/>
      <c r="F91" s="50"/>
      <c r="G91" s="50"/>
      <c r="H91" s="50"/>
      <c r="I91" s="36"/>
      <c r="J91" s="36"/>
      <c r="K91" s="36"/>
      <c r="L91" s="36"/>
      <c r="M91" s="36"/>
      <c r="N91" s="36"/>
      <c r="O91" s="36"/>
      <c r="P91" s="41"/>
    </row>
    <row r="92" spans="2:16" ht="14.5" x14ac:dyDescent="0.35">
      <c r="C92" s="224" t="s">
        <v>76</v>
      </c>
      <c r="D92" s="50"/>
      <c r="E92" s="50"/>
      <c r="F92" s="50"/>
      <c r="G92" s="50"/>
      <c r="H92" s="50"/>
      <c r="I92" s="36"/>
      <c r="J92" s="36"/>
      <c r="K92" s="36"/>
      <c r="L92" s="36"/>
      <c r="M92" s="36"/>
      <c r="N92" s="36"/>
      <c r="O92" s="36"/>
      <c r="P92" s="41"/>
    </row>
    <row r="93" spans="2:16" ht="14.5" x14ac:dyDescent="0.35">
      <c r="C93" s="215" t="str" cm="1">
        <f t="array" aca="1" ref="C93" ca="1">HYPERLINK("#"&amp;CELL("address",C8),"Jump to required inputs")</f>
        <v>Jump to required inputs</v>
      </c>
      <c r="D93" s="50"/>
      <c r="E93" s="50"/>
      <c r="F93" s="50"/>
      <c r="G93" s="50"/>
      <c r="H93" s="50"/>
      <c r="I93" s="36"/>
      <c r="J93" s="36"/>
      <c r="K93" s="36"/>
      <c r="L93" s="36"/>
      <c r="M93" s="36"/>
      <c r="N93" s="36"/>
      <c r="O93" s="36"/>
      <c r="P93" s="41"/>
    </row>
    <row r="94" spans="2:16" ht="14.5" x14ac:dyDescent="0.35">
      <c r="C94" s="133" t="s">
        <v>166</v>
      </c>
      <c r="D94" s="134"/>
      <c r="E94" s="134"/>
      <c r="F94" s="134"/>
      <c r="G94" s="134"/>
      <c r="H94" s="134"/>
      <c r="I94" s="135"/>
      <c r="J94" s="135"/>
      <c r="K94" s="135"/>
      <c r="L94" s="135"/>
      <c r="M94" s="135"/>
      <c r="N94" s="135"/>
      <c r="O94" s="135"/>
      <c r="P94" s="41"/>
    </row>
    <row r="95" spans="2:16" ht="14.5" x14ac:dyDescent="0.35">
      <c r="C95" s="11" t="s">
        <v>167</v>
      </c>
      <c r="D95" s="136">
        <v>0</v>
      </c>
      <c r="E95" s="70" t="str">
        <f>IF(D95&lt;0,"Warning","")</f>
        <v/>
      </c>
      <c r="F95" s="18" t="s">
        <v>168</v>
      </c>
      <c r="P95" s="41"/>
    </row>
    <row r="96" spans="2:16" ht="14.5" x14ac:dyDescent="0.35">
      <c r="C96" s="11"/>
      <c r="E96" s="18"/>
      <c r="F96" s="18"/>
      <c r="P96" s="41"/>
    </row>
    <row r="97" spans="3:16" ht="14.5" x14ac:dyDescent="0.35">
      <c r="C97" s="133" t="s">
        <v>169</v>
      </c>
      <c r="D97" s="134"/>
      <c r="E97" s="137"/>
      <c r="F97" s="137"/>
      <c r="G97" s="134"/>
      <c r="H97" s="134"/>
      <c r="I97" s="135"/>
      <c r="J97" s="135"/>
      <c r="K97" s="135"/>
      <c r="L97" s="135"/>
      <c r="M97" s="135"/>
      <c r="N97" s="135"/>
      <c r="O97" s="135"/>
      <c r="P97" s="41"/>
    </row>
    <row r="98" spans="3:16" ht="14.5" x14ac:dyDescent="0.35">
      <c r="C98" t="s">
        <v>170</v>
      </c>
      <c r="D98" s="138" t="s">
        <v>171</v>
      </c>
      <c r="E98" s="18"/>
      <c r="F98" s="18" t="s">
        <v>172</v>
      </c>
      <c r="P98" s="41"/>
    </row>
    <row r="99" spans="3:16" ht="14.5" x14ac:dyDescent="0.35">
      <c r="E99" s="18"/>
      <c r="F99" s="9"/>
      <c r="P99" s="41"/>
    </row>
    <row r="100" spans="3:16" ht="14.5" x14ac:dyDescent="0.35">
      <c r="C100" t="s">
        <v>173</v>
      </c>
      <c r="E100" s="18"/>
      <c r="F100" s="18"/>
      <c r="P100" s="41"/>
    </row>
    <row r="101" spans="3:16" ht="14.5" x14ac:dyDescent="0.35">
      <c r="D101" s="75" t="s">
        <v>174</v>
      </c>
      <c r="E101" s="18"/>
      <c r="F101" s="18"/>
      <c r="P101" s="41"/>
    </row>
    <row r="102" spans="3:16" ht="14.5" x14ac:dyDescent="0.35">
      <c r="C102" s="11" t="s">
        <v>96</v>
      </c>
      <c r="D102" s="55">
        <v>0.3</v>
      </c>
      <c r="E102" s="18"/>
      <c r="F102" s="18" t="s">
        <v>175</v>
      </c>
      <c r="P102" s="41"/>
    </row>
    <row r="103" spans="3:16" ht="14.5" x14ac:dyDescent="0.35">
      <c r="C103" s="11" t="s">
        <v>105</v>
      </c>
      <c r="D103" s="55">
        <v>0.05</v>
      </c>
      <c r="E103" s="18"/>
      <c r="F103" s="18" t="s">
        <v>176</v>
      </c>
      <c r="P103" s="41"/>
    </row>
    <row r="104" spans="3:16" ht="14.5" x14ac:dyDescent="0.35">
      <c r="C104" s="11"/>
      <c r="E104" s="18"/>
      <c r="F104" s="18"/>
      <c r="G104" s="153"/>
      <c r="P104" s="41"/>
    </row>
    <row r="105" spans="3:16" ht="14.5" x14ac:dyDescent="0.35">
      <c r="E105" s="226" t="s">
        <v>177</v>
      </c>
      <c r="F105" s="18"/>
      <c r="P105" s="41"/>
    </row>
    <row r="106" spans="3:16" ht="14.5" x14ac:dyDescent="0.35">
      <c r="C106" s="62" t="s">
        <v>178</v>
      </c>
      <c r="E106" s="226"/>
      <c r="F106" s="18"/>
      <c r="P106" s="41"/>
    </row>
    <row r="107" spans="3:16" ht="14.5" x14ac:dyDescent="0.35">
      <c r="C107" s="11" t="s">
        <v>179</v>
      </c>
      <c r="D107" s="55">
        <v>0.02</v>
      </c>
      <c r="E107" s="139">
        <f>D118</f>
        <v>0</v>
      </c>
      <c r="F107" s="18" t="s">
        <v>180</v>
      </c>
      <c r="P107" s="41"/>
    </row>
    <row r="108" spans="3:16" ht="14.5" x14ac:dyDescent="0.35">
      <c r="C108" s="11" t="s">
        <v>181</v>
      </c>
      <c r="D108" s="55">
        <v>0.1</v>
      </c>
      <c r="E108" s="139">
        <f>D121</f>
        <v>0</v>
      </c>
      <c r="F108" s="18" t="s">
        <v>182</v>
      </c>
      <c r="P108" s="41"/>
    </row>
    <row r="109" spans="3:16" ht="14.5" x14ac:dyDescent="0.35">
      <c r="C109" s="11" t="s">
        <v>183</v>
      </c>
      <c r="D109" s="55">
        <v>0.1</v>
      </c>
      <c r="E109" s="139">
        <f>D124</f>
        <v>0</v>
      </c>
      <c r="F109" s="18" t="s">
        <v>184</v>
      </c>
      <c r="P109" s="41"/>
    </row>
    <row r="110" spans="3:16" ht="14.5" x14ac:dyDescent="0.35">
      <c r="C110" s="11"/>
      <c r="E110" s="139"/>
      <c r="F110" s="18"/>
      <c r="P110" s="41"/>
    </row>
    <row r="111" spans="3:16" ht="14.5" x14ac:dyDescent="0.35">
      <c r="C111" s="11" t="s">
        <v>185</v>
      </c>
      <c r="D111" s="140">
        <f>+D103+D107</f>
        <v>7.0000000000000007E-2</v>
      </c>
      <c r="E111" s="18"/>
      <c r="F111" s="18" t="s">
        <v>186</v>
      </c>
      <c r="P111" s="41"/>
    </row>
    <row r="112" spans="3:16" ht="14.5" x14ac:dyDescent="0.35">
      <c r="C112" s="11" t="s">
        <v>187</v>
      </c>
      <c r="D112" s="140">
        <f>+(D111)*(1-D108)*(1-D109)</f>
        <v>5.6700000000000014E-2</v>
      </c>
      <c r="E112" s="18"/>
      <c r="F112" s="18" t="s">
        <v>188</v>
      </c>
      <c r="P112" s="41"/>
    </row>
    <row r="113" spans="3:16" ht="14.5" x14ac:dyDescent="0.35">
      <c r="D113" s="141" t="s">
        <v>189</v>
      </c>
      <c r="E113" s="18"/>
      <c r="F113" s="18"/>
      <c r="P113" s="41"/>
    </row>
    <row r="114" spans="3:16" ht="14.5" x14ac:dyDescent="0.35">
      <c r="C114" s="11" t="s">
        <v>190</v>
      </c>
      <c r="D114" s="54">
        <v>100000</v>
      </c>
      <c r="E114" s="18"/>
      <c r="F114" s="18" t="s">
        <v>191</v>
      </c>
      <c r="P114" s="41"/>
    </row>
    <row r="115" spans="3:16" ht="14.5" x14ac:dyDescent="0.35">
      <c r="E115" s="18"/>
      <c r="F115" s="18"/>
      <c r="P115" s="41"/>
    </row>
    <row r="116" spans="3:16" ht="14.5" x14ac:dyDescent="0.35">
      <c r="E116" s="18"/>
      <c r="F116" s="18"/>
      <c r="P116" s="41"/>
    </row>
    <row r="117" spans="3:16" ht="14.5" x14ac:dyDescent="0.35">
      <c r="C117" s="133" t="s">
        <v>192</v>
      </c>
      <c r="D117" s="134"/>
      <c r="E117" s="137"/>
      <c r="F117" s="137"/>
      <c r="G117" s="134"/>
      <c r="H117" s="134"/>
      <c r="I117" s="135"/>
      <c r="J117" s="135"/>
      <c r="K117" s="135"/>
      <c r="L117" s="135"/>
      <c r="M117" s="135"/>
      <c r="N117" s="135"/>
      <c r="O117" s="135"/>
      <c r="P117" s="41"/>
    </row>
    <row r="118" spans="3:16" ht="14.5" x14ac:dyDescent="0.35">
      <c r="C118" s="11" t="s">
        <v>179</v>
      </c>
      <c r="D118" s="55">
        <v>0</v>
      </c>
      <c r="E118" s="70" t="str">
        <f>IF(D118&lt;0,"Warning","")</f>
        <v/>
      </c>
      <c r="F118" s="18" t="s">
        <v>193</v>
      </c>
      <c r="P118" s="41"/>
    </row>
    <row r="119" spans="3:16" ht="14.5" x14ac:dyDescent="0.35">
      <c r="E119" s="18"/>
      <c r="F119" s="18" t="s">
        <v>194</v>
      </c>
      <c r="P119" s="41"/>
    </row>
    <row r="120" spans="3:16" ht="14.5" x14ac:dyDescent="0.35">
      <c r="E120" s="18"/>
      <c r="F120" s="18"/>
      <c r="P120" s="41"/>
    </row>
    <row r="121" spans="3:16" ht="14.5" x14ac:dyDescent="0.35">
      <c r="C121" s="11" t="s">
        <v>181</v>
      </c>
      <c r="D121" s="55">
        <v>0</v>
      </c>
      <c r="E121" s="18"/>
      <c r="F121" s="18" t="s">
        <v>195</v>
      </c>
      <c r="P121" s="41"/>
    </row>
    <row r="122" spans="3:16" ht="14.5" x14ac:dyDescent="0.35">
      <c r="C122" s="11"/>
      <c r="E122" s="18"/>
      <c r="F122" s="18" t="s">
        <v>196</v>
      </c>
      <c r="P122" s="41"/>
    </row>
    <row r="123" spans="3:16" ht="14.5" x14ac:dyDescent="0.35">
      <c r="C123" s="11"/>
      <c r="E123" s="18"/>
      <c r="F123" s="18"/>
      <c r="P123" s="41"/>
    </row>
    <row r="124" spans="3:16" ht="14.5" x14ac:dyDescent="0.35">
      <c r="C124" s="11" t="s">
        <v>183</v>
      </c>
      <c r="D124" s="55">
        <v>0</v>
      </c>
      <c r="E124" s="18"/>
      <c r="F124" s="18" t="s">
        <v>197</v>
      </c>
      <c r="P124" s="41"/>
    </row>
    <row r="125" spans="3:16" ht="14.5" x14ac:dyDescent="0.35">
      <c r="E125" s="18"/>
      <c r="F125" s="18" t="s">
        <v>198</v>
      </c>
      <c r="P125" s="41"/>
    </row>
    <row r="126" spans="3:16" ht="14.5" x14ac:dyDescent="0.35">
      <c r="D126" s="91"/>
      <c r="E126" s="18"/>
      <c r="F126" s="18" t="s">
        <v>194</v>
      </c>
      <c r="P126" s="41"/>
    </row>
    <row r="127" spans="3:16" ht="14.5" x14ac:dyDescent="0.35">
      <c r="E127" s="18"/>
      <c r="F127" s="18"/>
      <c r="P127" s="41"/>
    </row>
    <row r="128" spans="3:16" ht="14.5" x14ac:dyDescent="0.35">
      <c r="C128" t="s">
        <v>185</v>
      </c>
      <c r="D128" s="142">
        <f>+D18+D118</f>
        <v>0.05</v>
      </c>
      <c r="E128" s="18"/>
      <c r="F128" s="18" t="s">
        <v>186</v>
      </c>
      <c r="P128" s="41"/>
    </row>
    <row r="129" spans="3:17" ht="14.5" x14ac:dyDescent="0.35">
      <c r="C129" t="s">
        <v>187</v>
      </c>
      <c r="D129" s="143">
        <f>+(D128)*(1-D121)*(1-D124)</f>
        <v>0.05</v>
      </c>
      <c r="E129" s="18"/>
      <c r="F129" s="18" t="s">
        <v>199</v>
      </c>
      <c r="P129" s="41"/>
    </row>
    <row r="130" spans="3:17" ht="14.5" x14ac:dyDescent="0.35">
      <c r="C130" s="62"/>
      <c r="P130" s="41"/>
    </row>
    <row r="131" spans="3:17" ht="14.5" x14ac:dyDescent="0.35">
      <c r="C131" s="133" t="s">
        <v>200</v>
      </c>
      <c r="D131" s="134"/>
      <c r="E131" s="134"/>
      <c r="F131" s="134"/>
      <c r="G131" s="134"/>
      <c r="H131" s="134"/>
      <c r="I131" s="135"/>
      <c r="J131" s="135"/>
      <c r="K131" s="135"/>
      <c r="L131" s="135"/>
      <c r="M131" s="135"/>
      <c r="N131" s="135"/>
      <c r="O131" s="135"/>
      <c r="P131" s="41"/>
    </row>
    <row r="132" spans="3:17" ht="14.5" x14ac:dyDescent="0.35">
      <c r="C132" s="11" t="s">
        <v>201</v>
      </c>
      <c r="D132" s="144">
        <v>100000</v>
      </c>
      <c r="E132" s="18"/>
      <c r="F132" s="18" t="s">
        <v>202</v>
      </c>
      <c r="P132" s="41"/>
    </row>
    <row r="133" spans="3:17" ht="14.5" x14ac:dyDescent="0.35">
      <c r="F133" s="9" t="s">
        <v>203</v>
      </c>
      <c r="P133"/>
      <c r="Q133"/>
    </row>
    <row r="134" spans="3:17" ht="14.5" x14ac:dyDescent="0.35">
      <c r="C134" s="11" t="s">
        <v>204</v>
      </c>
      <c r="D134" s="55">
        <v>0.1</v>
      </c>
      <c r="E134" s="18"/>
      <c r="F134" s="18" t="s">
        <v>205</v>
      </c>
      <c r="P134" s="41"/>
    </row>
    <row r="135" spans="3:17" ht="14.5" x14ac:dyDescent="0.35">
      <c r="C135" s="11"/>
      <c r="E135" s="11"/>
      <c r="P135" s="41"/>
    </row>
    <row r="136" spans="3:17" ht="14.5" x14ac:dyDescent="0.35">
      <c r="D136" s="75" t="s">
        <v>114</v>
      </c>
      <c r="F136" s="76" t="s">
        <v>115</v>
      </c>
      <c r="G136" s="76" t="s">
        <v>116</v>
      </c>
      <c r="H136" s="76" t="s">
        <v>117</v>
      </c>
      <c r="P136" s="41"/>
    </row>
    <row r="137" spans="3:17" ht="14.5" x14ac:dyDescent="0.35">
      <c r="C137" s="11" t="s">
        <v>206</v>
      </c>
      <c r="D137" s="55">
        <v>0.3</v>
      </c>
      <c r="E137" s="70" t="str">
        <f>IF(D137&lt;0,"Warning","")</f>
        <v/>
      </c>
      <c r="F137" s="145">
        <f>+D134</f>
        <v>0.1</v>
      </c>
      <c r="G137" s="146">
        <f>+D137*F137</f>
        <v>0.03</v>
      </c>
      <c r="H137" s="147">
        <f>+F137-G137</f>
        <v>7.0000000000000007E-2</v>
      </c>
      <c r="I137" s="11" t="s">
        <v>207</v>
      </c>
      <c r="P137" s="41"/>
    </row>
    <row r="138" spans="3:17" ht="14.5" x14ac:dyDescent="0.35">
      <c r="C138" s="18"/>
      <c r="F138" s="145"/>
      <c r="G138" s="146"/>
      <c r="H138" s="147"/>
      <c r="I138" s="11"/>
      <c r="P138" s="41"/>
    </row>
    <row r="139" spans="3:17" ht="14.5" x14ac:dyDescent="0.35">
      <c r="C139" s="18"/>
      <c r="F139" s="145"/>
      <c r="G139" s="146"/>
      <c r="H139" s="147"/>
      <c r="I139" s="11"/>
      <c r="P139" s="41"/>
    </row>
    <row r="140" spans="3:17" ht="14.5" x14ac:dyDescent="0.35">
      <c r="P140" s="41"/>
    </row>
    <row r="141" spans="3:17" ht="14.5" x14ac:dyDescent="0.35">
      <c r="P141" s="41"/>
    </row>
    <row r="142" spans="3:17" ht="29" x14ac:dyDescent="0.35">
      <c r="C142" s="21" t="s">
        <v>0</v>
      </c>
      <c r="P142" s="41"/>
    </row>
    <row r="143" spans="3:17" ht="14.5" x14ac:dyDescent="0.35">
      <c r="P143" s="41"/>
    </row>
    <row r="144" spans="3:17" ht="14.5" hidden="1" x14ac:dyDescent="0.35">
      <c r="P144" s="41"/>
    </row>
    <row r="145" spans="16:16" ht="14.5" hidden="1" x14ac:dyDescent="0.35">
      <c r="P145" s="41"/>
    </row>
    <row r="146" spans="16:16" ht="14.5" hidden="1" x14ac:dyDescent="0.35">
      <c r="P146" s="41"/>
    </row>
    <row r="147" spans="16:16" ht="14.5" hidden="1" x14ac:dyDescent="0.35"/>
    <row r="148" spans="16:16" ht="14.5" hidden="1" x14ac:dyDescent="0.35"/>
    <row r="149" spans="16:16" ht="14.5" hidden="1" x14ac:dyDescent="0.35"/>
    <row r="150" spans="16:16" ht="14.5" hidden="1" x14ac:dyDescent="0.35"/>
    <row r="151" spans="16:16" ht="14.5" hidden="1" x14ac:dyDescent="0.35"/>
    <row r="152" spans="16:16" ht="14.5" hidden="1" x14ac:dyDescent="0.35"/>
    <row r="153" spans="16:16" ht="14.5" hidden="1" x14ac:dyDescent="0.35"/>
    <row r="154" spans="16:16" ht="14.5" hidden="1" x14ac:dyDescent="0.35"/>
    <row r="155" spans="16:16" ht="14.5" hidden="1" x14ac:dyDescent="0.35"/>
    <row r="156" spans="16:16" ht="14.5" hidden="1" x14ac:dyDescent="0.35"/>
    <row r="157" spans="16:16" ht="14.5" hidden="1" x14ac:dyDescent="0.35"/>
    <row r="158" spans="16:16" ht="14.5" hidden="1" x14ac:dyDescent="0.35"/>
    <row r="159" spans="16:16" ht="14.5" hidden="1" x14ac:dyDescent="0.35"/>
    <row r="160" spans="16:16"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sheetData>
  <sheetProtection algorithmName="SHA-512" hashValue="6kgw3RA6j+Ol8v2kBHtil8S8ndo3t19RpMqftzAPgt0dZf3TiSOHZYqClG/GRQVTzsfV2/QYbwREewixdQvqCQ==" saltValue="UJFhg9y2T7KQkyQIFw3PMw==" spinCount="100000" sheet="1" objects="1" scenarios="1" formatCells="0"/>
  <mergeCells count="2">
    <mergeCell ref="F34:H34"/>
    <mergeCell ref="E105:E106"/>
  </mergeCells>
  <conditionalFormatting sqref="C58:L58">
    <cfRule type="expression" dxfId="10" priority="19">
      <formula>$D$98="No"</formula>
    </cfRule>
  </conditionalFormatting>
  <conditionalFormatting sqref="C84:O87">
    <cfRule type="expression" dxfId="9" priority="23">
      <formula>$D$132&lt;=0</formula>
    </cfRule>
  </conditionalFormatting>
  <conditionalFormatting sqref="C100:O115">
    <cfRule type="expression" dxfId="8" priority="16">
      <formula>$D$98="No"</formula>
    </cfRule>
  </conditionalFormatting>
  <conditionalFormatting sqref="D65">
    <cfRule type="cellIs" dxfId="7" priority="22" operator="equal">
      <formula>1</formula>
    </cfRule>
  </conditionalFormatting>
  <conditionalFormatting sqref="D102:D103 D107:D109 D114">
    <cfRule type="expression" dxfId="6" priority="2">
      <formula>$D$98="No"</formula>
    </cfRule>
  </conditionalFormatting>
  <conditionalFormatting sqref="F133">
    <cfRule type="expression" dxfId="4" priority="1">
      <formula>$D$132=0</formula>
    </cfRule>
  </conditionalFormatting>
  <dataValidations count="9">
    <dataValidation type="decimal" operator="greaterThanOrEqual" allowBlank="1" showErrorMessage="1" errorTitle="Invalid entry." error="Please enter a value of 0 or greater." sqref="D132" xr:uid="{4977970C-0483-45FA-A9E1-AA6466351091}">
      <formula1>0</formula1>
    </dataValidation>
    <dataValidation allowBlank="1" showInputMessage="1" showErrorMessage="1" errorTitle="Invalid entry." error="Please enter a value of $0 or more." sqref="D114" xr:uid="{83E11A1A-BE5D-4271-9077-54E51FE962F0}"/>
    <dataValidation type="decimal" allowBlank="1" showErrorMessage="1" errorTitle="Invalid entry." error="Please enter a value of 0% or greater." sqref="D103 D107 D118" xr:uid="{9057566F-5B33-4143-817D-BF85A465319E}">
      <formula1>0</formula1>
      <formula2>1</formula2>
    </dataValidation>
    <dataValidation type="decimal" allowBlank="1" showErrorMessage="1" errorTitle="Invalid entry." error="Please enter a value between 0% and 100%." sqref="D102 D108:D109 D121 D124 D134 D137" xr:uid="{C49F18B6-3E5B-413D-84F3-9F2D681FD144}">
      <formula1>0</formula1>
      <formula2>1</formula2>
    </dataValidation>
    <dataValidation type="decimal" operator="greaterThanOrEqual" allowBlank="1" showInputMessage="1" showErrorMessage="1" errorTitle="Invalid entry." error="Please enter a value greater than or equal to zero." sqref="D18" xr:uid="{4333659A-FA98-4782-BD72-D52C24A4FCDC}">
      <formula1>0</formula1>
    </dataValidation>
    <dataValidation type="decimal" allowBlank="1" showInputMessage="1" showErrorMessage="1" errorTitle="Invalid entry." error="Please enter a value between 0% and 100%." sqref="D13 D17" xr:uid="{6C5E0047-9C1D-4F4F-AB50-C4D08E3DDACA}">
      <formula1>0</formula1>
      <formula2>1</formula2>
    </dataValidation>
    <dataValidation type="list" allowBlank="1" showInputMessage="1" showErrorMessage="1" errorTitle="Enter a value between 1 and 5" sqref="D46" xr:uid="{94886846-C018-442D-9359-3D06D26CBCC1}">
      <formula1>"1,2,3,4,5"</formula1>
    </dataValidation>
    <dataValidation type="list" allowBlank="1" showInputMessage="1" showErrorMessage="1" sqref="D98" xr:uid="{177FA919-3FFF-42C8-BD9B-63C888C851BF}">
      <formula1>"Yes,No"</formula1>
    </dataValidation>
    <dataValidation type="decimal" operator="greaterThan" allowBlank="1" showInputMessage="1" showErrorMessage="1" errorTitle="Invalid entry." error="Enter a value greater than 0." sqref="D12" xr:uid="{C6E9A81D-CE39-4C9F-A0C8-8D2196068AA8}">
      <formula1>0</formula1>
    </dataValidation>
  </dataValidations>
  <hyperlinks>
    <hyperlink ref="C92" r:id="rId1" xr:uid="{4C25D69D-ADDD-4DC2-989E-28A6A6D15858}"/>
  </hyperlinks>
  <pageMargins left="0.7" right="0.7" top="0.75" bottom="0.75" header="0.3" footer="0.3"/>
  <pageSetup scale="25" fitToWidth="6" orientation="landscape" horizontalDpi="300" verticalDpi="300" r:id="rId2"/>
  <headerFooter>
    <oddFooter xml:space="preserve">&amp;L© 2024 Kognitiv Corporation
</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24" id="{5FA8ACA5-F51E-4322-9839-8E3D8E1B7641}">
            <xm:f>'Appendix - Calculations'!C$4=0</xm:f>
            <x14:dxf>
              <font>
                <color theme="0" tint="-0.14996795556505021"/>
              </font>
            </x14:dxf>
          </x14:cfRule>
          <xm:sqref>D48:H62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D105636-EE70-4F57-8942-279B37F61046}">
          <x14:formula1>
            <xm:f>'Appendix - Calculations'!$B$141:$B$145</xm:f>
          </x14:formula1>
          <xm:sqref>D22 D40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AA256-49A5-4499-BF72-750FDBA4D879}">
  <sheetPr codeName="Sheet4">
    <tabColor rgb="FF22DBD1"/>
  </sheetPr>
  <dimension ref="A1:W164"/>
  <sheetViews>
    <sheetView showGridLines="0" zoomScale="70" zoomScaleNormal="70" workbookViewId="0">
      <pane xSplit="2" ySplit="4" topLeftCell="C117" activePane="bottomRight" state="frozen"/>
      <selection pane="topRight" activeCell="C64" sqref="C64"/>
      <selection pane="bottomLeft" activeCell="C64" sqref="C64"/>
      <selection pane="bottomRight" activeCell="B149" sqref="B149"/>
    </sheetView>
  </sheetViews>
  <sheetFormatPr defaultColWidth="0" defaultRowHeight="14.9" customHeight="1" zeroHeight="1" x14ac:dyDescent="0.35"/>
  <cols>
    <col min="1" max="1" width="5.81640625" style="91" customWidth="1"/>
    <col min="2" max="2" width="51.26953125" style="91" bestFit="1" customWidth="1"/>
    <col min="3" max="3" width="17.26953125" style="91" bestFit="1" customWidth="1"/>
    <col min="4" max="5" width="13.26953125" style="91" bestFit="1" customWidth="1"/>
    <col min="6" max="6" width="15.1796875" style="91" bestFit="1" customWidth="1"/>
    <col min="7" max="7" width="13.26953125" style="91" bestFit="1" customWidth="1"/>
    <col min="8" max="8" width="14.453125" style="91" bestFit="1" customWidth="1"/>
    <col min="9" max="11" width="9.26953125" style="91" customWidth="1"/>
    <col min="12" max="14" width="9.26953125" style="40" customWidth="1"/>
    <col min="15" max="18" width="9.26953125" hidden="1" customWidth="1"/>
    <col min="19" max="19" width="5.7265625" hidden="1" customWidth="1"/>
    <col min="20" max="20" width="9.26953125" hidden="1" customWidth="1"/>
    <col min="21" max="22" width="9.26953125" style="91" hidden="1" customWidth="1"/>
    <col min="23" max="23" width="0" style="91" hidden="1" customWidth="1"/>
    <col min="24" max="16384" width="9.26953125" style="91" hidden="1"/>
  </cols>
  <sheetData>
    <row r="1" spans="1:14" customFormat="1" ht="30" customHeight="1" x14ac:dyDescent="0.35">
      <c r="A1" s="36"/>
      <c r="B1" s="36"/>
      <c r="C1" s="36"/>
      <c r="D1" s="36"/>
      <c r="E1" s="36"/>
      <c r="F1" s="36"/>
      <c r="G1" s="36"/>
      <c r="H1" s="36"/>
      <c r="I1" s="36"/>
      <c r="J1" s="36"/>
      <c r="K1" s="36"/>
      <c r="L1" s="38"/>
      <c r="M1" s="38"/>
      <c r="N1" s="38"/>
    </row>
    <row r="2" spans="1:14" customFormat="1" ht="9.75" customHeight="1" x14ac:dyDescent="0.35">
      <c r="L2" s="41"/>
      <c r="M2" s="41"/>
      <c r="N2" s="41"/>
    </row>
    <row r="3" spans="1:14" ht="14.5" hidden="1" x14ac:dyDescent="0.35">
      <c r="B3" s="157" t="s">
        <v>208</v>
      </c>
      <c r="C3" s="158">
        <v>1</v>
      </c>
      <c r="D3" s="158">
        <v>2</v>
      </c>
      <c r="E3" s="158">
        <v>3</v>
      </c>
      <c r="F3" s="158">
        <v>4</v>
      </c>
      <c r="G3" s="158">
        <v>5</v>
      </c>
      <c r="H3" s="159" t="s">
        <v>124</v>
      </c>
      <c r="I3" s="157"/>
      <c r="J3" s="157"/>
      <c r="K3" s="157"/>
    </row>
    <row r="4" spans="1:14" ht="14.5" hidden="1" x14ac:dyDescent="0.35">
      <c r="B4" s="96"/>
      <c r="C4" s="160">
        <f>IF(Model!D48&lt;=Model!$D$46,1,0)</f>
        <v>1</v>
      </c>
      <c r="D4" s="160">
        <f>IF(Model!E48&lt;=Model!$D$46,1,0)</f>
        <v>1</v>
      </c>
      <c r="E4" s="160">
        <f>IF(Model!F48&lt;=Model!$D$46,1,0)</f>
        <v>0</v>
      </c>
      <c r="F4" s="160">
        <f>IF(Model!G48&lt;=Model!$D$46,1,0)</f>
        <v>0</v>
      </c>
      <c r="G4" s="160">
        <f>IF(Model!H48&lt;=Model!$D$46,1,0)</f>
        <v>0</v>
      </c>
      <c r="H4" s="161">
        <f>SUM(C4:G4)</f>
        <v>2</v>
      </c>
    </row>
    <row r="5" spans="1:14" ht="14.5" x14ac:dyDescent="0.35">
      <c r="B5" s="157" t="s">
        <v>209</v>
      </c>
      <c r="C5" s="157"/>
      <c r="D5" s="157"/>
      <c r="E5" s="157"/>
      <c r="F5" s="157"/>
      <c r="G5" s="157"/>
      <c r="H5" s="157"/>
      <c r="I5" s="157"/>
      <c r="J5" s="157"/>
      <c r="K5" s="157"/>
    </row>
    <row r="6" spans="1:14" ht="14.5" x14ac:dyDescent="0.35">
      <c r="C6" s="97">
        <v>1</v>
      </c>
      <c r="D6" s="97">
        <v>2</v>
      </c>
      <c r="E6" s="97">
        <v>3</v>
      </c>
      <c r="F6" s="97">
        <v>4</v>
      </c>
      <c r="G6" s="97">
        <v>5</v>
      </c>
      <c r="H6" s="98" t="s">
        <v>124</v>
      </c>
    </row>
    <row r="7" spans="1:14" ht="14.5" x14ac:dyDescent="0.35">
      <c r="B7" s="162" t="s">
        <v>124</v>
      </c>
      <c r="C7" s="97"/>
      <c r="D7" s="97"/>
      <c r="E7" s="97"/>
      <c r="F7" s="97"/>
      <c r="G7" s="97"/>
      <c r="H7" s="98"/>
    </row>
    <row r="8" spans="1:14" ht="15" customHeight="1" x14ac:dyDescent="0.35">
      <c r="A8" s="156"/>
      <c r="B8" s="91" t="s">
        <v>210</v>
      </c>
      <c r="C8" s="160">
        <f>(IF(Model!$D$132=0,1,Model!$D$132)*(C$4))</f>
        <v>100000</v>
      </c>
      <c r="D8" s="160">
        <f>+C8*(1+D9)*D$4</f>
        <v>100000</v>
      </c>
      <c r="E8" s="160">
        <f t="shared" ref="E8:G8" si="0">+D8*(1+E9)*E$4</f>
        <v>0</v>
      </c>
      <c r="F8" s="160">
        <f t="shared" si="0"/>
        <v>0</v>
      </c>
      <c r="G8" s="160">
        <f t="shared" si="0"/>
        <v>0</v>
      </c>
      <c r="H8" s="161">
        <f>AVERAGEIF(C8:G8,"&gt;0")</f>
        <v>100000</v>
      </c>
      <c r="I8" s="104" t="s">
        <v>211</v>
      </c>
    </row>
    <row r="9" spans="1:14" ht="15" customHeight="1" x14ac:dyDescent="0.35">
      <c r="A9" s="156"/>
      <c r="B9" s="91" t="s">
        <v>167</v>
      </c>
      <c r="C9" s="163"/>
      <c r="D9" s="163">
        <f>((+Model!$D$95))*($D$4)</f>
        <v>0</v>
      </c>
      <c r="E9" s="163">
        <f>((+Model!$D$95))*($E$4)</f>
        <v>0</v>
      </c>
      <c r="F9" s="163">
        <f>((+Model!$D$95))*($F$4)</f>
        <v>0</v>
      </c>
      <c r="G9" s="163">
        <f>((+Model!$D$95))*($G$4)</f>
        <v>0</v>
      </c>
      <c r="H9" s="161"/>
      <c r="I9" s="104"/>
    </row>
    <row r="10" spans="1:14" ht="15" customHeight="1" x14ac:dyDescent="0.35">
      <c r="C10" s="160"/>
      <c r="D10" s="160"/>
      <c r="E10" s="160"/>
      <c r="F10" s="160"/>
      <c r="G10" s="160"/>
      <c r="H10" s="103"/>
    </row>
    <row r="11" spans="1:14" ht="14.5" x14ac:dyDescent="0.35">
      <c r="B11" s="91" t="s">
        <v>212</v>
      </c>
      <c r="C11" s="102">
        <f>(+Model!$D$12*(1+C9)*(C$4))</f>
        <v>10000000</v>
      </c>
      <c r="D11" s="102">
        <f>(C11*(1+D9)*(D$4))</f>
        <v>10000000</v>
      </c>
      <c r="E11" s="102">
        <f t="shared" ref="E11:G11" si="1">(D11*(1+E9)*(E$4))</f>
        <v>0</v>
      </c>
      <c r="F11" s="102">
        <f t="shared" si="1"/>
        <v>0</v>
      </c>
      <c r="G11" s="102">
        <f t="shared" si="1"/>
        <v>0</v>
      </c>
      <c r="H11" s="103">
        <f>SUM(C11:G11)</f>
        <v>20000000</v>
      </c>
    </row>
    <row r="12" spans="1:14" ht="14.5" x14ac:dyDescent="0.35">
      <c r="B12" s="91" t="s">
        <v>213</v>
      </c>
      <c r="C12" s="102">
        <f>+C11*C29</f>
        <v>4000000</v>
      </c>
      <c r="D12" s="102">
        <f>+D11*D29</f>
        <v>4000000</v>
      </c>
      <c r="E12" s="102">
        <f>+E11*E29</f>
        <v>0</v>
      </c>
      <c r="F12" s="102">
        <f>+F11*F29</f>
        <v>0</v>
      </c>
      <c r="G12" s="102">
        <f>+G11*G29</f>
        <v>0</v>
      </c>
      <c r="H12" s="103">
        <f>SUM(C12:G12)</f>
        <v>8000000</v>
      </c>
    </row>
    <row r="13" spans="1:14" ht="14.5" x14ac:dyDescent="0.35">
      <c r="A13" s="164"/>
      <c r="B13" s="91" t="s">
        <v>214</v>
      </c>
      <c r="C13" s="102">
        <f>+C12-C22</f>
        <v>4000000</v>
      </c>
      <c r="D13" s="102">
        <f t="shared" ref="D13:G13" si="2">+D12-D22</f>
        <v>4000000</v>
      </c>
      <c r="E13" s="102">
        <f t="shared" si="2"/>
        <v>0</v>
      </c>
      <c r="F13" s="102">
        <f t="shared" si="2"/>
        <v>0</v>
      </c>
      <c r="G13" s="102">
        <f t="shared" si="2"/>
        <v>0</v>
      </c>
      <c r="H13" s="103">
        <f t="shared" ref="H13" si="3">SUM(C13:G13)</f>
        <v>8000000</v>
      </c>
    </row>
    <row r="14" spans="1:14" ht="14.5" x14ac:dyDescent="0.35">
      <c r="C14" s="102"/>
      <c r="D14" s="102"/>
      <c r="E14" s="102"/>
      <c r="F14" s="102"/>
      <c r="G14" s="102"/>
      <c r="H14" s="103"/>
    </row>
    <row r="15" spans="1:14" ht="14.5" x14ac:dyDescent="0.35">
      <c r="A15" s="165">
        <f>+IF(Model!$D$98="Yes",1,0)</f>
        <v>0</v>
      </c>
      <c r="B15" s="162" t="s">
        <v>215</v>
      </c>
      <c r="C15" s="102"/>
      <c r="D15" s="102"/>
      <c r="E15" s="102"/>
      <c r="F15" s="102"/>
      <c r="G15" s="102"/>
      <c r="H15" s="103"/>
    </row>
    <row r="16" spans="1:14" ht="14.5" x14ac:dyDescent="0.35">
      <c r="B16" s="91" t="s">
        <v>216</v>
      </c>
      <c r="C16" s="160">
        <f>+C39*C8</f>
        <v>0</v>
      </c>
      <c r="D16" s="160">
        <f>+D39*D8</f>
        <v>0</v>
      </c>
      <c r="E16" s="160">
        <f>+E39*E8</f>
        <v>0</v>
      </c>
      <c r="F16" s="160">
        <f>+F39*F8</f>
        <v>0</v>
      </c>
      <c r="G16" s="160">
        <f>+G39*G8</f>
        <v>0</v>
      </c>
      <c r="H16" s="160">
        <f>IFERROR(AVERAGEIF(C16:G16,"&gt;0"),0)</f>
        <v>0</v>
      </c>
      <c r="I16" s="166" t="s">
        <v>217</v>
      </c>
    </row>
    <row r="17" spans="2:8" ht="14.5" x14ac:dyDescent="0.35">
      <c r="C17" s="160"/>
      <c r="D17" s="160"/>
      <c r="E17" s="160"/>
      <c r="F17" s="160"/>
      <c r="G17" s="160"/>
      <c r="H17" s="103"/>
    </row>
    <row r="18" spans="2:8" ht="14.5" x14ac:dyDescent="0.35">
      <c r="B18" s="91" t="s">
        <v>126</v>
      </c>
      <c r="C18" s="102">
        <f>+C11*C39</f>
        <v>0</v>
      </c>
      <c r="D18" s="102">
        <f>+D11*D39</f>
        <v>0</v>
      </c>
      <c r="E18" s="102">
        <f>+E11*E39</f>
        <v>0</v>
      </c>
      <c r="F18" s="102">
        <f>+F11*F39</f>
        <v>0</v>
      </c>
      <c r="G18" s="102">
        <f>+G11*G39</f>
        <v>0</v>
      </c>
      <c r="H18" s="103">
        <f t="shared" ref="H18:H23" si="4">SUM(C18:G18)</f>
        <v>0</v>
      </c>
    </row>
    <row r="19" spans="2:8" ht="14.5" x14ac:dyDescent="0.35">
      <c r="B19" s="91" t="s">
        <v>213</v>
      </c>
      <c r="C19" s="102">
        <f>+C18*C29</f>
        <v>0</v>
      </c>
      <c r="D19" s="102">
        <f t="shared" ref="D19:G19" si="5">+D18*D29</f>
        <v>0</v>
      </c>
      <c r="E19" s="102">
        <f t="shared" si="5"/>
        <v>0</v>
      </c>
      <c r="F19" s="102">
        <f t="shared" si="5"/>
        <v>0</v>
      </c>
      <c r="G19" s="102">
        <f t="shared" si="5"/>
        <v>0</v>
      </c>
      <c r="H19" s="103">
        <f t="shared" si="4"/>
        <v>0</v>
      </c>
    </row>
    <row r="20" spans="2:8" ht="14.5" x14ac:dyDescent="0.35">
      <c r="B20" s="167" t="s">
        <v>131</v>
      </c>
      <c r="C20" s="102">
        <f>+C18*C41</f>
        <v>0</v>
      </c>
      <c r="D20" s="102">
        <f>+D18*D41</f>
        <v>0</v>
      </c>
      <c r="E20" s="102">
        <f>+E18*E41</f>
        <v>0</v>
      </c>
      <c r="F20" s="102">
        <f>+F18*F41</f>
        <v>0</v>
      </c>
      <c r="G20" s="102">
        <f>+G18*G41</f>
        <v>0</v>
      </c>
      <c r="H20" s="103">
        <f t="shared" si="4"/>
        <v>0</v>
      </c>
    </row>
    <row r="21" spans="2:8" ht="14.5" x14ac:dyDescent="0.35">
      <c r="B21" s="168" t="s">
        <v>135</v>
      </c>
      <c r="C21" s="169">
        <f>(+$A$15*Model!$D$114)*(C$4)</f>
        <v>0</v>
      </c>
      <c r="D21" s="169">
        <f>+C21*D$4</f>
        <v>0</v>
      </c>
      <c r="E21" s="169">
        <f t="shared" ref="E21:G21" si="6">+D21*E$4</f>
        <v>0</v>
      </c>
      <c r="F21" s="169">
        <f t="shared" si="6"/>
        <v>0</v>
      </c>
      <c r="G21" s="169">
        <f t="shared" si="6"/>
        <v>0</v>
      </c>
      <c r="H21" s="170">
        <f t="shared" si="4"/>
        <v>0</v>
      </c>
    </row>
    <row r="22" spans="2:8" ht="14.5" x14ac:dyDescent="0.35">
      <c r="B22" s="171" t="s">
        <v>218</v>
      </c>
      <c r="C22" s="172">
        <f>+C20+C21</f>
        <v>0</v>
      </c>
      <c r="D22" s="172">
        <f t="shared" ref="D22:G22" si="7">+D20+D21</f>
        <v>0</v>
      </c>
      <c r="E22" s="172">
        <f t="shared" si="7"/>
        <v>0</v>
      </c>
      <c r="F22" s="172">
        <f t="shared" si="7"/>
        <v>0</v>
      </c>
      <c r="G22" s="172">
        <f t="shared" si="7"/>
        <v>0</v>
      </c>
      <c r="H22" s="173">
        <f t="shared" si="4"/>
        <v>0</v>
      </c>
    </row>
    <row r="23" spans="2:8" ht="14.5" x14ac:dyDescent="0.35">
      <c r="B23" s="91" t="s">
        <v>214</v>
      </c>
      <c r="C23" s="102">
        <f>(+C19-C22)*($A$15)</f>
        <v>0</v>
      </c>
      <c r="D23" s="102">
        <f t="shared" ref="D23:G23" si="8">(+D19-D22)*($A$15)</f>
        <v>0</v>
      </c>
      <c r="E23" s="102">
        <f t="shared" si="8"/>
        <v>0</v>
      </c>
      <c r="F23" s="102">
        <f t="shared" si="8"/>
        <v>0</v>
      </c>
      <c r="G23" s="102">
        <f t="shared" si="8"/>
        <v>0</v>
      </c>
      <c r="H23" s="103">
        <f t="shared" si="4"/>
        <v>0</v>
      </c>
    </row>
    <row r="24" spans="2:8" ht="14.5" x14ac:dyDescent="0.35">
      <c r="C24" s="102"/>
      <c r="D24" s="102"/>
      <c r="E24" s="102"/>
      <c r="F24" s="102"/>
      <c r="G24" s="102"/>
      <c r="H24" s="103"/>
    </row>
    <row r="25" spans="2:8" ht="14.5" x14ac:dyDescent="0.35">
      <c r="B25" s="162" t="s">
        <v>124</v>
      </c>
      <c r="C25" s="102"/>
      <c r="D25" s="102"/>
      <c r="E25" s="102"/>
      <c r="F25" s="102"/>
      <c r="G25" s="102"/>
      <c r="H25" s="103"/>
    </row>
    <row r="26" spans="2:8" ht="14.5" x14ac:dyDescent="0.35">
      <c r="B26" s="91" t="s">
        <v>219</v>
      </c>
      <c r="C26" s="102">
        <f t="shared" ref="C26:H26" si="9">IFERROR(+C11/C8,0)</f>
        <v>100</v>
      </c>
      <c r="D26" s="102">
        <f t="shared" si="9"/>
        <v>100</v>
      </c>
      <c r="E26" s="102">
        <f t="shared" si="9"/>
        <v>0</v>
      </c>
      <c r="F26" s="102">
        <f t="shared" si="9"/>
        <v>0</v>
      </c>
      <c r="G26" s="102">
        <f t="shared" si="9"/>
        <v>0</v>
      </c>
      <c r="H26" s="103">
        <f t="shared" si="9"/>
        <v>200</v>
      </c>
    </row>
    <row r="27" spans="2:8" ht="14.5" x14ac:dyDescent="0.35">
      <c r="B27" s="91" t="s">
        <v>220</v>
      </c>
      <c r="C27" s="102">
        <f t="shared" ref="C27:H27" si="10">IFERROR(+C12/C8,0)</f>
        <v>40</v>
      </c>
      <c r="D27" s="102">
        <f t="shared" si="10"/>
        <v>40</v>
      </c>
      <c r="E27" s="102">
        <f t="shared" si="10"/>
        <v>0</v>
      </c>
      <c r="F27" s="102">
        <f t="shared" si="10"/>
        <v>0</v>
      </c>
      <c r="G27" s="102">
        <f t="shared" si="10"/>
        <v>0</v>
      </c>
      <c r="H27" s="103">
        <f t="shared" si="10"/>
        <v>80</v>
      </c>
    </row>
    <row r="28" spans="2:8" ht="14.5" x14ac:dyDescent="0.35">
      <c r="B28" s="91" t="s">
        <v>221</v>
      </c>
      <c r="C28" s="102">
        <f>IFERROR(+C13/C8,0)</f>
        <v>40</v>
      </c>
      <c r="D28" s="102">
        <f t="shared" ref="D28:H28" si="11">IFERROR(+D13/D8,0)</f>
        <v>40</v>
      </c>
      <c r="E28" s="102">
        <f t="shared" si="11"/>
        <v>0</v>
      </c>
      <c r="F28" s="102">
        <f t="shared" si="11"/>
        <v>0</v>
      </c>
      <c r="G28" s="102">
        <f t="shared" si="11"/>
        <v>0</v>
      </c>
      <c r="H28" s="103">
        <f t="shared" si="11"/>
        <v>80</v>
      </c>
    </row>
    <row r="29" spans="2:8" ht="14.5" x14ac:dyDescent="0.35">
      <c r="B29" s="91" t="s">
        <v>222</v>
      </c>
      <c r="C29" s="174">
        <f>+Model!$D$13*C$4</f>
        <v>0.4</v>
      </c>
      <c r="D29" s="174">
        <f>+Model!$D$13*D$4</f>
        <v>0.4</v>
      </c>
      <c r="E29" s="174">
        <f>+Model!$D$13*E$4</f>
        <v>0</v>
      </c>
      <c r="F29" s="174">
        <f>+Model!$D$13*F$4</f>
        <v>0</v>
      </c>
      <c r="G29" s="174">
        <f>+Model!$D$13*G$4</f>
        <v>0</v>
      </c>
      <c r="H29" s="175">
        <f>+H12/H11</f>
        <v>0.4</v>
      </c>
    </row>
    <row r="30" spans="2:8" ht="14.5" x14ac:dyDescent="0.35">
      <c r="B30" s="91" t="s">
        <v>223</v>
      </c>
      <c r="C30" s="174">
        <f t="shared" ref="C30:H30" si="12">IFERROR(+C13/C11,0)</f>
        <v>0.4</v>
      </c>
      <c r="D30" s="174">
        <f t="shared" si="12"/>
        <v>0.4</v>
      </c>
      <c r="E30" s="174">
        <f t="shared" si="12"/>
        <v>0</v>
      </c>
      <c r="F30" s="174">
        <f t="shared" si="12"/>
        <v>0</v>
      </c>
      <c r="G30" s="174">
        <f t="shared" si="12"/>
        <v>0</v>
      </c>
      <c r="H30" s="175">
        <f t="shared" si="12"/>
        <v>0.4</v>
      </c>
    </row>
    <row r="31" spans="2:8" ht="14.5" x14ac:dyDescent="0.35">
      <c r="C31" s="102"/>
      <c r="D31" s="102"/>
      <c r="E31" s="102"/>
      <c r="F31" s="102"/>
      <c r="G31" s="102"/>
      <c r="H31" s="103"/>
    </row>
    <row r="32" spans="2:8" ht="14.5" x14ac:dyDescent="0.35">
      <c r="B32" s="162" t="s">
        <v>215</v>
      </c>
      <c r="C32" s="102"/>
      <c r="D32" s="102"/>
      <c r="E32" s="102"/>
      <c r="F32" s="102"/>
      <c r="G32" s="102"/>
      <c r="H32" s="103"/>
    </row>
    <row r="33" spans="2:11" ht="14.5" x14ac:dyDescent="0.35">
      <c r="B33" s="91" t="s">
        <v>224</v>
      </c>
      <c r="C33" s="102">
        <f t="shared" ref="C33:H33" si="13">IFERROR(+C18/C16,0)</f>
        <v>0</v>
      </c>
      <c r="D33" s="102">
        <f t="shared" si="13"/>
        <v>0</v>
      </c>
      <c r="E33" s="102">
        <f t="shared" si="13"/>
        <v>0</v>
      </c>
      <c r="F33" s="102">
        <f t="shared" si="13"/>
        <v>0</v>
      </c>
      <c r="G33" s="102">
        <f t="shared" si="13"/>
        <v>0</v>
      </c>
      <c r="H33" s="103">
        <f t="shared" si="13"/>
        <v>0</v>
      </c>
      <c r="I33" s="104" t="str">
        <f>"total over "&amp;TEXT($H$4,"0")&amp;" year(s)"</f>
        <v>total over 2 year(s)</v>
      </c>
    </row>
    <row r="34" spans="2:11" ht="14.5" x14ac:dyDescent="0.35">
      <c r="B34" s="91" t="s">
        <v>225</v>
      </c>
      <c r="C34" s="102">
        <f t="shared" ref="C34:H34" si="14">IFERROR(+C19/C16,0)</f>
        <v>0</v>
      </c>
      <c r="D34" s="102">
        <f t="shared" si="14"/>
        <v>0</v>
      </c>
      <c r="E34" s="102">
        <f t="shared" si="14"/>
        <v>0</v>
      </c>
      <c r="F34" s="102">
        <f t="shared" si="14"/>
        <v>0</v>
      </c>
      <c r="G34" s="102">
        <f t="shared" si="14"/>
        <v>0</v>
      </c>
      <c r="H34" s="103">
        <f t="shared" si="14"/>
        <v>0</v>
      </c>
      <c r="I34" s="104" t="str">
        <f>"total over "&amp;TEXT($H$4,"0")&amp;" year(s)"</f>
        <v>total over 2 year(s)</v>
      </c>
    </row>
    <row r="35" spans="2:11" ht="14.5" x14ac:dyDescent="0.35">
      <c r="B35" s="91" t="s">
        <v>226</v>
      </c>
      <c r="C35" s="102">
        <f t="shared" ref="C35:H35" si="15">IFERROR(+C23/C16,0)</f>
        <v>0</v>
      </c>
      <c r="D35" s="102">
        <f t="shared" si="15"/>
        <v>0</v>
      </c>
      <c r="E35" s="102">
        <f t="shared" si="15"/>
        <v>0</v>
      </c>
      <c r="F35" s="102">
        <f t="shared" si="15"/>
        <v>0</v>
      </c>
      <c r="G35" s="102">
        <f t="shared" si="15"/>
        <v>0</v>
      </c>
      <c r="H35" s="103">
        <f t="shared" si="15"/>
        <v>0</v>
      </c>
      <c r="I35" s="104" t="str">
        <f>"total over "&amp;TEXT($H$4,"0")&amp;" year(s)"</f>
        <v>total over 2 year(s)</v>
      </c>
    </row>
    <row r="36" spans="2:11" ht="14.5" x14ac:dyDescent="0.35">
      <c r="B36" s="91" t="s">
        <v>222</v>
      </c>
      <c r="C36" s="174">
        <f t="shared" ref="C36:H36" si="16">IFERROR(+C19/C18,0)</f>
        <v>0</v>
      </c>
      <c r="D36" s="174">
        <f t="shared" si="16"/>
        <v>0</v>
      </c>
      <c r="E36" s="174">
        <f t="shared" si="16"/>
        <v>0</v>
      </c>
      <c r="F36" s="174">
        <f t="shared" si="16"/>
        <v>0</v>
      </c>
      <c r="G36" s="174">
        <f t="shared" si="16"/>
        <v>0</v>
      </c>
      <c r="H36" s="175">
        <f t="shared" si="16"/>
        <v>0</v>
      </c>
      <c r="I36" s="104"/>
    </row>
    <row r="37" spans="2:11" ht="14.5" x14ac:dyDescent="0.35">
      <c r="B37" s="91" t="s">
        <v>223</v>
      </c>
      <c r="C37" s="174">
        <f t="shared" ref="C37:H37" si="17">IFERROR(+C23/C18,0)</f>
        <v>0</v>
      </c>
      <c r="D37" s="174">
        <f t="shared" si="17"/>
        <v>0</v>
      </c>
      <c r="E37" s="174">
        <f t="shared" si="17"/>
        <v>0</v>
      </c>
      <c r="F37" s="174">
        <f t="shared" si="17"/>
        <v>0</v>
      </c>
      <c r="G37" s="174">
        <f t="shared" si="17"/>
        <v>0</v>
      </c>
      <c r="H37" s="175">
        <f t="shared" si="17"/>
        <v>0</v>
      </c>
      <c r="I37" s="104"/>
    </row>
    <row r="38" spans="2:11" ht="14.5" x14ac:dyDescent="0.35">
      <c r="C38" s="174"/>
      <c r="D38" s="174"/>
      <c r="E38" s="174"/>
      <c r="F38" s="174"/>
      <c r="G38" s="174"/>
      <c r="H38" s="175"/>
    </row>
    <row r="39" spans="2:11" ht="14.5" x14ac:dyDescent="0.35">
      <c r="B39" s="91" t="s">
        <v>227</v>
      </c>
      <c r="C39" s="174">
        <f>(Model!$D$102)*($A$15)*C$4</f>
        <v>0</v>
      </c>
      <c r="D39" s="174">
        <f>(Model!$D$102)*($A$15)*D$4</f>
        <v>0</v>
      </c>
      <c r="E39" s="174">
        <f>(Model!$D$102)*($A$15)*E$4</f>
        <v>0</v>
      </c>
      <c r="F39" s="174">
        <f>(Model!$D$102)*($A$15)*F$4</f>
        <v>0</v>
      </c>
      <c r="G39" s="174">
        <f>(Model!$D$102)*($A$15)*G$4</f>
        <v>0</v>
      </c>
      <c r="H39" s="103"/>
      <c r="I39" s="164"/>
    </row>
    <row r="40" spans="2:11" ht="14.5" x14ac:dyDescent="0.35">
      <c r="B40" s="91" t="s">
        <v>228</v>
      </c>
      <c r="C40" s="174">
        <f>((Model!$D$111)*(C$4))*($A$15)</f>
        <v>0</v>
      </c>
      <c r="D40" s="174">
        <f>((Model!$D$111)*(D$4))*($A$15)</f>
        <v>0</v>
      </c>
      <c r="E40" s="174">
        <f>((Model!$D$111)*(E$4))*($A$15)</f>
        <v>0</v>
      </c>
      <c r="F40" s="174">
        <f>((Model!$D$111)*(F$4))*($A$15)</f>
        <v>0</v>
      </c>
      <c r="G40" s="174">
        <f>((Model!$D$111)*(G$4))*($A$15)</f>
        <v>0</v>
      </c>
      <c r="H40" s="175"/>
    </row>
    <row r="41" spans="2:11" ht="14.5" x14ac:dyDescent="0.35">
      <c r="B41" s="91" t="s">
        <v>229</v>
      </c>
      <c r="C41" s="174">
        <f>((Model!$D$112)*(C$4))*($A$15)</f>
        <v>0</v>
      </c>
      <c r="D41" s="174">
        <f>((Model!$D$112)*(D$4))*($A$15)</f>
        <v>0</v>
      </c>
      <c r="E41" s="174">
        <f>((Model!$D$112)*(E$4))*($A$15)</f>
        <v>0</v>
      </c>
      <c r="F41" s="174">
        <f>((Model!$D$112)*(F$4))*($A$15)</f>
        <v>0</v>
      </c>
      <c r="G41" s="174">
        <f>((Model!$D$112)*(G$4))*($A$15)</f>
        <v>0</v>
      </c>
      <c r="H41" s="175"/>
    </row>
    <row r="42" spans="2:11" ht="14.5" x14ac:dyDescent="0.35">
      <c r="E42" s="102"/>
      <c r="F42" s="102"/>
      <c r="G42" s="102"/>
      <c r="H42" s="102"/>
      <c r="I42" s="102"/>
    </row>
    <row r="43" spans="2:11" ht="29" x14ac:dyDescent="0.35">
      <c r="B43" s="216" t="s">
        <v>230</v>
      </c>
      <c r="C43" s="157"/>
      <c r="D43" s="157"/>
      <c r="E43" s="176"/>
      <c r="F43" s="176"/>
      <c r="G43" s="176"/>
      <c r="H43" s="176"/>
      <c r="I43" s="176"/>
      <c r="J43" s="157"/>
      <c r="K43" s="157"/>
    </row>
    <row r="44" spans="2:11" ht="14.5" x14ac:dyDescent="0.35">
      <c r="C44" s="97">
        <v>1</v>
      </c>
      <c r="D44" s="97">
        <v>2</v>
      </c>
      <c r="E44" s="97">
        <v>3</v>
      </c>
      <c r="F44" s="97">
        <v>4</v>
      </c>
      <c r="G44" s="97">
        <v>5</v>
      </c>
      <c r="H44" s="98" t="s">
        <v>124</v>
      </c>
    </row>
    <row r="45" spans="2:11" ht="14.5" x14ac:dyDescent="0.35">
      <c r="B45" s="91" t="s">
        <v>216</v>
      </c>
      <c r="C45" s="160">
        <f>C8*C46</f>
        <v>30000</v>
      </c>
      <c r="D45" s="160">
        <f>D8*D46</f>
        <v>30000</v>
      </c>
      <c r="E45" s="160">
        <f>E8*E46</f>
        <v>0</v>
      </c>
      <c r="F45" s="160">
        <f>F8*F46</f>
        <v>0</v>
      </c>
      <c r="G45" s="160">
        <f>G8*G46</f>
        <v>0</v>
      </c>
      <c r="H45" s="161">
        <f>AVERAGEIF(C45:G45,"&gt;0")</f>
        <v>30000</v>
      </c>
      <c r="I45" s="104" t="s">
        <v>217</v>
      </c>
    </row>
    <row r="46" spans="2:11" ht="14.5" x14ac:dyDescent="0.35">
      <c r="B46" s="91" t="s">
        <v>231</v>
      </c>
      <c r="C46" s="174">
        <f>Model!$D$17*C$4</f>
        <v>0.3</v>
      </c>
      <c r="D46" s="174">
        <f>Model!$D$17*D$4</f>
        <v>0.3</v>
      </c>
      <c r="E46" s="174">
        <f>Model!$D$17*E$4</f>
        <v>0</v>
      </c>
      <c r="F46" s="174">
        <f>Model!$D$17*F$4</f>
        <v>0</v>
      </c>
      <c r="G46" s="174">
        <f>Model!$D$17*G$4</f>
        <v>0</v>
      </c>
      <c r="H46" s="175">
        <f>AVERAGEIF(C46:G46,"&gt;0")</f>
        <v>0.3</v>
      </c>
      <c r="I46" s="104" t="s">
        <v>217</v>
      </c>
    </row>
    <row r="47" spans="2:11" ht="14.5" x14ac:dyDescent="0.35">
      <c r="C47" s="160"/>
      <c r="D47" s="160"/>
      <c r="E47" s="160"/>
      <c r="F47" s="160"/>
      <c r="G47" s="160"/>
      <c r="H47" s="103"/>
    </row>
    <row r="48" spans="2:11" ht="14.5" x14ac:dyDescent="0.35">
      <c r="B48" s="91" t="s">
        <v>232</v>
      </c>
      <c r="C48" s="102">
        <f>+C45*C51</f>
        <v>3000000</v>
      </c>
      <c r="D48" s="102">
        <f t="shared" ref="D48:G48" si="18">+D45*D51</f>
        <v>3000000</v>
      </c>
      <c r="E48" s="102">
        <f t="shared" si="18"/>
        <v>0</v>
      </c>
      <c r="F48" s="102">
        <f t="shared" si="18"/>
        <v>0</v>
      </c>
      <c r="G48" s="102">
        <f t="shared" si="18"/>
        <v>0</v>
      </c>
      <c r="H48" s="103">
        <f>+SUM(C48:E48)</f>
        <v>6000000</v>
      </c>
    </row>
    <row r="49" spans="2:11" ht="14.5" x14ac:dyDescent="0.35">
      <c r="B49" s="91" t="s">
        <v>213</v>
      </c>
      <c r="C49" s="102">
        <f>+C48*C53</f>
        <v>1200000</v>
      </c>
      <c r="D49" s="102">
        <f t="shared" ref="D49:G49" si="19">+D48*D53</f>
        <v>1200000</v>
      </c>
      <c r="E49" s="102">
        <f t="shared" si="19"/>
        <v>0</v>
      </c>
      <c r="F49" s="102">
        <f t="shared" si="19"/>
        <v>0</v>
      </c>
      <c r="G49" s="102">
        <f t="shared" si="19"/>
        <v>0</v>
      </c>
      <c r="H49" s="103">
        <f>+SUM(C49:E49)</f>
        <v>2400000</v>
      </c>
    </row>
    <row r="50" spans="2:11" ht="14.5" x14ac:dyDescent="0.35">
      <c r="C50" s="102"/>
      <c r="D50" s="102"/>
      <c r="E50" s="102"/>
      <c r="F50" s="102"/>
      <c r="G50" s="102"/>
      <c r="H50" s="103"/>
    </row>
    <row r="51" spans="2:11" ht="14.5" x14ac:dyDescent="0.35">
      <c r="B51" s="91" t="s">
        <v>233</v>
      </c>
      <c r="C51" s="102">
        <f>+C26</f>
        <v>100</v>
      </c>
      <c r="D51" s="102">
        <f t="shared" ref="D51:G51" si="20">+D26</f>
        <v>100</v>
      </c>
      <c r="E51" s="102">
        <f t="shared" si="20"/>
        <v>0</v>
      </c>
      <c r="F51" s="102">
        <f t="shared" si="20"/>
        <v>0</v>
      </c>
      <c r="G51" s="102">
        <f t="shared" si="20"/>
        <v>0</v>
      </c>
      <c r="H51" s="103"/>
    </row>
    <row r="52" spans="2:11" ht="14.5" x14ac:dyDescent="0.35">
      <c r="B52" s="177" t="s">
        <v>234</v>
      </c>
      <c r="C52" s="174">
        <f>IFERROR(+C51/C26,0)</f>
        <v>1</v>
      </c>
      <c r="D52" s="174">
        <f>IFERROR(+D51/D26,0)</f>
        <v>1</v>
      </c>
      <c r="E52" s="174">
        <f>IFERROR(+E51/E26,0)</f>
        <v>0</v>
      </c>
      <c r="F52" s="174">
        <f>IFERROR(+F51/F26,0)</f>
        <v>0</v>
      </c>
      <c r="G52" s="174">
        <f>IFERROR(+G51/G26,0)</f>
        <v>0</v>
      </c>
      <c r="H52" s="103"/>
    </row>
    <row r="53" spans="2:11" ht="14.5" x14ac:dyDescent="0.35">
      <c r="B53" s="91" t="s">
        <v>222</v>
      </c>
      <c r="C53" s="174">
        <f>+Model!$D$13*C$4</f>
        <v>0.4</v>
      </c>
      <c r="D53" s="174">
        <f>+Model!$D$13*D$4</f>
        <v>0.4</v>
      </c>
      <c r="E53" s="174">
        <f>+Model!$D$13*E$4</f>
        <v>0</v>
      </c>
      <c r="F53" s="174">
        <f>+Model!$D$13*F$4</f>
        <v>0</v>
      </c>
      <c r="G53" s="174">
        <f>+Model!$D$13*G$4</f>
        <v>0</v>
      </c>
      <c r="H53" s="175"/>
    </row>
    <row r="54" spans="2:11" ht="14.5" x14ac:dyDescent="0.35">
      <c r="C54" s="102"/>
      <c r="D54" s="102"/>
      <c r="E54" s="102"/>
      <c r="F54" s="102"/>
      <c r="G54" s="102"/>
      <c r="H54" s="102"/>
    </row>
    <row r="55" spans="2:11" ht="14.5" x14ac:dyDescent="0.35">
      <c r="B55" s="157" t="s">
        <v>235</v>
      </c>
      <c r="C55" s="176"/>
      <c r="D55" s="176"/>
      <c r="E55" s="176"/>
      <c r="F55" s="176"/>
      <c r="G55" s="176"/>
      <c r="H55" s="178"/>
      <c r="I55" s="157"/>
      <c r="J55" s="157"/>
      <c r="K55" s="157"/>
    </row>
    <row r="56" spans="2:11" ht="14.5" x14ac:dyDescent="0.35">
      <c r="C56" s="97">
        <v>1</v>
      </c>
      <c r="D56" s="97">
        <v>2</v>
      </c>
      <c r="E56" s="97">
        <v>3</v>
      </c>
      <c r="F56" s="97">
        <v>4</v>
      </c>
      <c r="G56" s="97">
        <v>5</v>
      </c>
      <c r="H56" s="98" t="s">
        <v>124</v>
      </c>
    </row>
    <row r="57" spans="2:11" ht="14.5" x14ac:dyDescent="0.35">
      <c r="B57" s="162" t="s">
        <v>236</v>
      </c>
      <c r="C57" s="97"/>
      <c r="D57" s="97"/>
      <c r="E57" s="97"/>
      <c r="F57" s="97"/>
      <c r="G57" s="97"/>
      <c r="H57" s="98"/>
    </row>
    <row r="58" spans="2:11" ht="14.5" x14ac:dyDescent="0.35">
      <c r="B58" s="91" t="s">
        <v>237</v>
      </c>
      <c r="C58" s="163">
        <f>(Model!$D$128)*C$4</f>
        <v>0.05</v>
      </c>
      <c r="D58" s="163">
        <f>(+C58)*D$4</f>
        <v>0.05</v>
      </c>
      <c r="E58" s="163">
        <f t="shared" ref="E58:G59" si="21">(+D58)*E$4</f>
        <v>0</v>
      </c>
      <c r="F58" s="163">
        <f t="shared" si="21"/>
        <v>0</v>
      </c>
      <c r="G58" s="163">
        <f t="shared" si="21"/>
        <v>0</v>
      </c>
      <c r="H58" s="175"/>
    </row>
    <row r="59" spans="2:11" ht="14.5" x14ac:dyDescent="0.35">
      <c r="B59" s="91" t="s">
        <v>187</v>
      </c>
      <c r="C59" s="163">
        <f>(Model!$D$129)*C$4</f>
        <v>0.05</v>
      </c>
      <c r="D59" s="163">
        <f>(+C59)*D$4</f>
        <v>0.05</v>
      </c>
      <c r="E59" s="163">
        <f t="shared" si="21"/>
        <v>0</v>
      </c>
      <c r="F59" s="163">
        <f t="shared" si="21"/>
        <v>0</v>
      </c>
      <c r="G59" s="163">
        <f t="shared" si="21"/>
        <v>0</v>
      </c>
      <c r="H59" s="175"/>
    </row>
    <row r="60" spans="2:11" ht="14.5" x14ac:dyDescent="0.35">
      <c r="C60" s="174"/>
      <c r="D60" s="174"/>
      <c r="E60" s="174"/>
      <c r="F60" s="174"/>
      <c r="G60" s="174"/>
      <c r="H60" s="175"/>
    </row>
    <row r="61" spans="2:11" ht="14.5" x14ac:dyDescent="0.35">
      <c r="B61" s="162" t="s">
        <v>238</v>
      </c>
      <c r="C61" s="174"/>
      <c r="D61" s="174"/>
      <c r="E61" s="174"/>
      <c r="F61" s="174"/>
      <c r="G61" s="174"/>
      <c r="H61" s="175"/>
    </row>
    <row r="62" spans="2:11" ht="15" customHeight="1" x14ac:dyDescent="0.35">
      <c r="B62" s="91" t="s">
        <v>210</v>
      </c>
      <c r="C62" s="160">
        <f>+C8+(C63-C45)</f>
        <v>100000</v>
      </c>
      <c r="D62" s="160">
        <f>+D8+(D63-D45)</f>
        <v>100900</v>
      </c>
      <c r="E62" s="160">
        <f>+E8+(E63-E45)</f>
        <v>0</v>
      </c>
      <c r="F62" s="160">
        <f>+F8+(F63-F45)</f>
        <v>0</v>
      </c>
      <c r="G62" s="160">
        <f>+G8+(G63-G45)</f>
        <v>0</v>
      </c>
      <c r="H62" s="161">
        <f>AVERAGEIF(C62:G62,"&gt;0")</f>
        <v>100450</v>
      </c>
      <c r="I62" s="104" t="s">
        <v>217</v>
      </c>
    </row>
    <row r="63" spans="2:11" ht="14.5" x14ac:dyDescent="0.35">
      <c r="B63" s="91" t="s">
        <v>216</v>
      </c>
      <c r="C63" s="160">
        <f>+C74</f>
        <v>30000</v>
      </c>
      <c r="D63" s="160">
        <f t="shared" ref="D63:G63" si="22">+D74</f>
        <v>30900</v>
      </c>
      <c r="E63" s="160">
        <f t="shared" si="22"/>
        <v>0</v>
      </c>
      <c r="F63" s="160">
        <f t="shared" si="22"/>
        <v>0</v>
      </c>
      <c r="G63" s="160">
        <f t="shared" si="22"/>
        <v>0</v>
      </c>
      <c r="H63" s="161">
        <f>AVERAGEIF(C63:G63,"&gt;0")</f>
        <v>30450</v>
      </c>
      <c r="I63" s="104" t="s">
        <v>217</v>
      </c>
    </row>
    <row r="64" spans="2:11" ht="14.5" x14ac:dyDescent="0.35">
      <c r="B64" s="91" t="s">
        <v>239</v>
      </c>
      <c r="C64" s="174">
        <f t="shared" ref="C64:H64" si="23">IFERROR(+C63/C62,0)</f>
        <v>0.3</v>
      </c>
      <c r="D64" s="174">
        <f t="shared" si="23"/>
        <v>0.3062438057482656</v>
      </c>
      <c r="E64" s="174">
        <f t="shared" si="23"/>
        <v>0</v>
      </c>
      <c r="F64" s="174">
        <f t="shared" si="23"/>
        <v>0</v>
      </c>
      <c r="G64" s="174">
        <f t="shared" si="23"/>
        <v>0</v>
      </c>
      <c r="H64" s="175">
        <f t="shared" si="23"/>
        <v>0.30313588850174217</v>
      </c>
      <c r="I64" s="104" t="s">
        <v>217</v>
      </c>
    </row>
    <row r="65" spans="2:8" ht="14.5" x14ac:dyDescent="0.35">
      <c r="C65" s="174"/>
      <c r="D65" s="174"/>
      <c r="E65" s="174"/>
      <c r="F65" s="174"/>
      <c r="G65" s="174"/>
      <c r="H65" s="175"/>
    </row>
    <row r="66" spans="2:8" ht="16.5" x14ac:dyDescent="0.45">
      <c r="B66" s="219" t="s">
        <v>240</v>
      </c>
      <c r="C66" s="174"/>
      <c r="D66" s="174"/>
      <c r="E66" s="174"/>
      <c r="F66" s="174"/>
      <c r="G66" s="174"/>
      <c r="H66" s="175"/>
    </row>
    <row r="67" spans="2:8" ht="14.5" hidden="1" x14ac:dyDescent="0.35">
      <c r="B67" s="177" t="s">
        <v>241</v>
      </c>
      <c r="C67" s="174">
        <f>+Model!H137</f>
        <v>7.0000000000000007E-2</v>
      </c>
      <c r="D67" s="174">
        <f>+C67</f>
        <v>7.0000000000000007E-2</v>
      </c>
      <c r="E67" s="174">
        <f t="shared" ref="E67:G68" si="24">+D67</f>
        <v>7.0000000000000007E-2</v>
      </c>
      <c r="F67" s="174">
        <f t="shared" si="24"/>
        <v>7.0000000000000007E-2</v>
      </c>
      <c r="G67" s="174">
        <f t="shared" si="24"/>
        <v>7.0000000000000007E-2</v>
      </c>
      <c r="H67" s="174"/>
    </row>
    <row r="68" spans="2:8" ht="14.5" hidden="1" x14ac:dyDescent="0.35">
      <c r="B68" s="177" t="s">
        <v>242</v>
      </c>
      <c r="C68" s="174">
        <f>+Model!G137</f>
        <v>0.03</v>
      </c>
      <c r="D68" s="174">
        <f>+C68</f>
        <v>0.03</v>
      </c>
      <c r="E68" s="174">
        <f t="shared" si="24"/>
        <v>0.03</v>
      </c>
      <c r="F68" s="174">
        <f t="shared" si="24"/>
        <v>0.03</v>
      </c>
      <c r="G68" s="174">
        <f t="shared" si="24"/>
        <v>0.03</v>
      </c>
      <c r="H68" s="174"/>
    </row>
    <row r="69" spans="2:8" ht="14.5" hidden="1" x14ac:dyDescent="0.35">
      <c r="B69" s="177" t="s">
        <v>243</v>
      </c>
      <c r="C69" s="179">
        <f>+C45</f>
        <v>30000</v>
      </c>
      <c r="D69" s="179">
        <f>+D45</f>
        <v>30000</v>
      </c>
      <c r="E69" s="179">
        <f>+E45</f>
        <v>0</v>
      </c>
      <c r="F69" s="179">
        <f>+F45</f>
        <v>0</v>
      </c>
      <c r="G69" s="179">
        <f>+G45</f>
        <v>0</v>
      </c>
      <c r="H69" s="175"/>
    </row>
    <row r="70" spans="2:8" ht="14.5" hidden="1" x14ac:dyDescent="0.35">
      <c r="B70" s="177" t="s">
        <v>244</v>
      </c>
      <c r="C70" s="174"/>
      <c r="D70" s="179">
        <f>(+C$69*D$68)*(D$4)</f>
        <v>900</v>
      </c>
      <c r="E70" s="179">
        <f>(+D70*(1-E67))*(E$4)</f>
        <v>0</v>
      </c>
      <c r="F70" s="179">
        <f>(+E70*(1-F$67))*(F$4)</f>
        <v>0</v>
      </c>
      <c r="G70" s="179">
        <f>(+F70*(1-G$67))*(G$4)</f>
        <v>0</v>
      </c>
      <c r="H70" s="175"/>
    </row>
    <row r="71" spans="2:8" ht="14.5" hidden="1" x14ac:dyDescent="0.35">
      <c r="B71" s="177" t="s">
        <v>245</v>
      </c>
      <c r="C71" s="174"/>
      <c r="D71" s="174"/>
      <c r="E71" s="179">
        <f>(+D$69*E$68)*(E$4)</f>
        <v>0</v>
      </c>
      <c r="F71" s="179">
        <f>(+E71*(1-F$67))*(F$4)</f>
        <v>0</v>
      </c>
      <c r="G71" s="179">
        <f>(+F71*(1-G$67))*(G$4)</f>
        <v>0</v>
      </c>
      <c r="H71" s="175"/>
    </row>
    <row r="72" spans="2:8" ht="14.5" hidden="1" x14ac:dyDescent="0.35">
      <c r="B72" s="177" t="s">
        <v>246</v>
      </c>
      <c r="C72" s="174"/>
      <c r="D72" s="174"/>
      <c r="E72" s="174"/>
      <c r="F72" s="179">
        <f>(+E$69*F$68)*(F$4)</f>
        <v>0</v>
      </c>
      <c r="G72" s="179">
        <f>(+F72*(1-G$67))*(G$4)</f>
        <v>0</v>
      </c>
      <c r="H72" s="175"/>
    </row>
    <row r="73" spans="2:8" ht="14.5" hidden="1" x14ac:dyDescent="0.35">
      <c r="B73" s="177" t="s">
        <v>247</v>
      </c>
      <c r="C73" s="180"/>
      <c r="D73" s="180"/>
      <c r="E73" s="180"/>
      <c r="F73" s="180"/>
      <c r="G73" s="181">
        <f>(+F$69*G$68)*(G$4)</f>
        <v>0</v>
      </c>
      <c r="H73" s="175"/>
    </row>
    <row r="74" spans="2:8" ht="14.5" hidden="1" x14ac:dyDescent="0.35">
      <c r="B74" s="177" t="s">
        <v>216</v>
      </c>
      <c r="C74" s="182">
        <f t="shared" ref="C74:D74" si="25">SUM(C69:C73)</f>
        <v>30000</v>
      </c>
      <c r="D74" s="182">
        <f t="shared" si="25"/>
        <v>30900</v>
      </c>
      <c r="E74" s="182">
        <f>SUM(E69:E73)</f>
        <v>0</v>
      </c>
      <c r="F74" s="182">
        <f t="shared" ref="F74:G74" si="26">SUM(F69:F73)</f>
        <v>0</v>
      </c>
      <c r="G74" s="182">
        <f t="shared" si="26"/>
        <v>0</v>
      </c>
      <c r="H74" s="175"/>
    </row>
    <row r="75" spans="2:8" ht="14.5" x14ac:dyDescent="0.35">
      <c r="C75" s="174"/>
      <c r="D75" s="174"/>
      <c r="E75" s="174"/>
      <c r="F75" s="174"/>
      <c r="G75" s="174"/>
      <c r="H75" s="175"/>
    </row>
    <row r="76" spans="2:8" ht="14.5" x14ac:dyDescent="0.35">
      <c r="C76" s="102"/>
      <c r="D76" s="102"/>
      <c r="E76" s="102"/>
      <c r="F76" s="102"/>
      <c r="G76" s="102"/>
      <c r="H76" s="103"/>
    </row>
    <row r="77" spans="2:8" ht="14.5" x14ac:dyDescent="0.35">
      <c r="B77" s="162" t="s">
        <v>248</v>
      </c>
      <c r="C77" s="102"/>
      <c r="D77" s="102"/>
      <c r="E77" s="102"/>
      <c r="F77" s="102"/>
      <c r="G77" s="102"/>
      <c r="H77" s="103"/>
    </row>
    <row r="78" spans="2:8" ht="14.5" x14ac:dyDescent="0.35">
      <c r="B78" s="91" t="s">
        <v>126</v>
      </c>
      <c r="C78" s="102">
        <f>(+C11+C87-C48)*(C$4)</f>
        <v>10900000</v>
      </c>
      <c r="D78" s="102">
        <f>(+D11+Model!E50)*(D$4)</f>
        <v>11017000</v>
      </c>
      <c r="E78" s="102">
        <f>(+E11+Model!F50)*(E$4)</f>
        <v>0</v>
      </c>
      <c r="F78" s="102">
        <f>(+F11+Model!G50)*(F$4)</f>
        <v>0</v>
      </c>
      <c r="G78" s="102">
        <f>(+G11+Model!H50)*(G$4)</f>
        <v>0</v>
      </c>
      <c r="H78" s="103">
        <f>SUM(C78:G78)</f>
        <v>21917000</v>
      </c>
    </row>
    <row r="79" spans="2:8" ht="14.5" x14ac:dyDescent="0.35">
      <c r="B79" s="91" t="s">
        <v>213</v>
      </c>
      <c r="C79" s="102">
        <f>+C78*C108</f>
        <v>4360000</v>
      </c>
      <c r="D79" s="102">
        <f>+D78*D108</f>
        <v>4406800</v>
      </c>
      <c r="E79" s="102">
        <f>+E78*E108</f>
        <v>0</v>
      </c>
      <c r="F79" s="102">
        <f>+F78*F108</f>
        <v>0</v>
      </c>
      <c r="G79" s="102">
        <f>+G78*G108</f>
        <v>0</v>
      </c>
      <c r="H79" s="103">
        <f>SUM(C79:G79)</f>
        <v>8766800</v>
      </c>
    </row>
    <row r="80" spans="2:8" ht="14.5" x14ac:dyDescent="0.35">
      <c r="B80" s="167" t="s">
        <v>131</v>
      </c>
      <c r="C80" s="102">
        <f>+C89</f>
        <v>195000</v>
      </c>
      <c r="D80" s="102">
        <f t="shared" ref="D80:G80" si="27">+D89</f>
        <v>200850</v>
      </c>
      <c r="E80" s="102">
        <f t="shared" si="27"/>
        <v>0</v>
      </c>
      <c r="F80" s="102">
        <f t="shared" si="27"/>
        <v>0</v>
      </c>
      <c r="G80" s="102">
        <f t="shared" si="27"/>
        <v>0</v>
      </c>
      <c r="H80" s="103">
        <f t="shared" ref="H80:H84" si="28">SUM(C80:G80)</f>
        <v>395850</v>
      </c>
    </row>
    <row r="81" spans="2:8" ht="14.5" x14ac:dyDescent="0.35">
      <c r="B81" s="167" t="s">
        <v>133</v>
      </c>
      <c r="C81" s="102">
        <f t="shared" ref="C81:G81" si="29">+C90</f>
        <v>50000</v>
      </c>
      <c r="D81" s="102">
        <f t="shared" si="29"/>
        <v>0</v>
      </c>
      <c r="E81" s="102">
        <f t="shared" si="29"/>
        <v>0</v>
      </c>
      <c r="F81" s="102">
        <f t="shared" si="29"/>
        <v>0</v>
      </c>
      <c r="G81" s="102">
        <f t="shared" si="29"/>
        <v>0</v>
      </c>
      <c r="H81" s="103">
        <f t="shared" si="28"/>
        <v>50000</v>
      </c>
    </row>
    <row r="82" spans="2:8" ht="14.5" x14ac:dyDescent="0.35">
      <c r="B82" s="168" t="s">
        <v>135</v>
      </c>
      <c r="C82" s="102">
        <f>(+C91)*(C$4)</f>
        <v>100000</v>
      </c>
      <c r="D82" s="102">
        <f>(+D91)*($D$4)</f>
        <v>100000</v>
      </c>
      <c r="E82" s="102">
        <f>(+E91)*($E$4)</f>
        <v>0</v>
      </c>
      <c r="F82" s="102">
        <f>(+F91)*($F$4)</f>
        <v>0</v>
      </c>
      <c r="G82" s="102">
        <f>(+G91)*($G$4)</f>
        <v>0</v>
      </c>
      <c r="H82" s="103">
        <f t="shared" si="28"/>
        <v>200000</v>
      </c>
    </row>
    <row r="83" spans="2:8" ht="14.5" x14ac:dyDescent="0.35">
      <c r="B83" s="183" t="s">
        <v>218</v>
      </c>
      <c r="C83" s="184">
        <f>SUM(C80:C82)</f>
        <v>345000</v>
      </c>
      <c r="D83" s="184">
        <f t="shared" ref="D83:G83" si="30">SUM(D80:D82)</f>
        <v>300850</v>
      </c>
      <c r="E83" s="184">
        <f t="shared" si="30"/>
        <v>0</v>
      </c>
      <c r="F83" s="184">
        <f t="shared" si="30"/>
        <v>0</v>
      </c>
      <c r="G83" s="184">
        <f t="shared" si="30"/>
        <v>0</v>
      </c>
      <c r="H83" s="185">
        <f t="shared" si="28"/>
        <v>645850</v>
      </c>
    </row>
    <row r="84" spans="2:8" ht="14.5" x14ac:dyDescent="0.35">
      <c r="B84" s="186" t="s">
        <v>214</v>
      </c>
      <c r="C84" s="172">
        <f>+C79-C83</f>
        <v>4015000</v>
      </c>
      <c r="D84" s="172">
        <f t="shared" ref="D84:G84" si="31">+D79-D83</f>
        <v>4105950</v>
      </c>
      <c r="E84" s="172">
        <f t="shared" si="31"/>
        <v>0</v>
      </c>
      <c r="F84" s="172">
        <f t="shared" si="31"/>
        <v>0</v>
      </c>
      <c r="G84" s="172">
        <f t="shared" si="31"/>
        <v>0</v>
      </c>
      <c r="H84" s="173">
        <f t="shared" si="28"/>
        <v>8120950</v>
      </c>
    </row>
    <row r="85" spans="2:8" ht="14.5" x14ac:dyDescent="0.35">
      <c r="C85" s="102"/>
      <c r="D85" s="102"/>
      <c r="E85" s="102"/>
      <c r="F85" s="102"/>
      <c r="G85" s="102"/>
      <c r="H85" s="103"/>
    </row>
    <row r="86" spans="2:8" ht="14.5" x14ac:dyDescent="0.35">
      <c r="B86" s="162" t="s">
        <v>249</v>
      </c>
      <c r="C86" s="102"/>
      <c r="D86" s="102"/>
      <c r="E86" s="102"/>
      <c r="F86" s="102"/>
      <c r="G86" s="102"/>
      <c r="H86" s="103"/>
    </row>
    <row r="87" spans="2:8" ht="14.5" x14ac:dyDescent="0.35">
      <c r="B87" s="91" t="s">
        <v>126</v>
      </c>
      <c r="C87" s="102">
        <f>+C105*C63</f>
        <v>3900000</v>
      </c>
      <c r="D87" s="102">
        <f>+D105*D63</f>
        <v>4017000</v>
      </c>
      <c r="E87" s="102">
        <f>+E105*E63</f>
        <v>0</v>
      </c>
      <c r="F87" s="102">
        <f>+F105*F63</f>
        <v>0</v>
      </c>
      <c r="G87" s="102">
        <f>+G105*G63</f>
        <v>0</v>
      </c>
      <c r="H87" s="103">
        <f>SUM(C87:G87)</f>
        <v>7917000</v>
      </c>
    </row>
    <row r="88" spans="2:8" ht="14.5" x14ac:dyDescent="0.35">
      <c r="B88" s="91" t="s">
        <v>213</v>
      </c>
      <c r="C88" s="102">
        <f>C87*C108</f>
        <v>1560000</v>
      </c>
      <c r="D88" s="102">
        <f>D87*D108</f>
        <v>1606800</v>
      </c>
      <c r="E88" s="102">
        <f>E87*E108</f>
        <v>0</v>
      </c>
      <c r="F88" s="102">
        <f>F87*F108</f>
        <v>0</v>
      </c>
      <c r="G88" s="102">
        <f>G87*G108</f>
        <v>0</v>
      </c>
      <c r="H88" s="103">
        <f t="shared" ref="H88:H93" si="32">SUM(C88:G88)</f>
        <v>3166800</v>
      </c>
    </row>
    <row r="89" spans="2:8" ht="14.5" x14ac:dyDescent="0.35">
      <c r="B89" s="167" t="s">
        <v>131</v>
      </c>
      <c r="C89" s="102">
        <f>C87*C59</f>
        <v>195000</v>
      </c>
      <c r="D89" s="102">
        <f>D87*D59</f>
        <v>200850</v>
      </c>
      <c r="E89" s="102">
        <f>E87*E59</f>
        <v>0</v>
      </c>
      <c r="F89" s="102">
        <f>F87*F59</f>
        <v>0</v>
      </c>
      <c r="G89" s="102">
        <f>G87*G59</f>
        <v>0</v>
      </c>
      <c r="H89" s="103">
        <f t="shared" si="32"/>
        <v>395850</v>
      </c>
    </row>
    <row r="90" spans="2:8" ht="14.5" x14ac:dyDescent="0.35">
      <c r="B90" s="167" t="s">
        <v>133</v>
      </c>
      <c r="C90" s="102">
        <f>+Model!D28</f>
        <v>50000</v>
      </c>
      <c r="D90" s="102"/>
      <c r="E90" s="102"/>
      <c r="F90" s="102"/>
      <c r="G90" s="102"/>
      <c r="H90" s="103">
        <f t="shared" si="32"/>
        <v>50000</v>
      </c>
    </row>
    <row r="91" spans="2:8" ht="14.5" x14ac:dyDescent="0.35">
      <c r="B91" s="168" t="s">
        <v>135</v>
      </c>
      <c r="C91" s="102">
        <f>(+Model!D29)*(C$4)</f>
        <v>100000</v>
      </c>
      <c r="D91" s="102">
        <f>(+C91)*($D$4)</f>
        <v>100000</v>
      </c>
      <c r="E91" s="102">
        <f>(+D91)*($E$4)</f>
        <v>0</v>
      </c>
      <c r="F91" s="102">
        <f>(+E91)*($F$4)</f>
        <v>0</v>
      </c>
      <c r="G91" s="102">
        <f>(+F91)*($G$4)</f>
        <v>0</v>
      </c>
      <c r="H91" s="103">
        <f t="shared" si="32"/>
        <v>200000</v>
      </c>
    </row>
    <row r="92" spans="2:8" ht="14.5" x14ac:dyDescent="0.35">
      <c r="B92" s="183" t="s">
        <v>218</v>
      </c>
      <c r="C92" s="184">
        <f>SUM(C89:C91)</f>
        <v>345000</v>
      </c>
      <c r="D92" s="184">
        <f t="shared" ref="D92:G92" si="33">SUM(D89:D91)</f>
        <v>300850</v>
      </c>
      <c r="E92" s="184">
        <f t="shared" si="33"/>
        <v>0</v>
      </c>
      <c r="F92" s="184">
        <f t="shared" si="33"/>
        <v>0</v>
      </c>
      <c r="G92" s="184">
        <f t="shared" si="33"/>
        <v>0</v>
      </c>
      <c r="H92" s="185">
        <f t="shared" si="32"/>
        <v>645850</v>
      </c>
    </row>
    <row r="93" spans="2:8" ht="14.5" x14ac:dyDescent="0.35">
      <c r="B93" s="186" t="s">
        <v>214</v>
      </c>
      <c r="C93" s="172">
        <f>+C88-C92</f>
        <v>1215000</v>
      </c>
      <c r="D93" s="172">
        <f t="shared" ref="D93:G93" si="34">+D88-D92</f>
        <v>1305950</v>
      </c>
      <c r="E93" s="172">
        <f t="shared" si="34"/>
        <v>0</v>
      </c>
      <c r="F93" s="172">
        <f t="shared" si="34"/>
        <v>0</v>
      </c>
      <c r="G93" s="172">
        <f t="shared" si="34"/>
        <v>0</v>
      </c>
      <c r="H93" s="173">
        <f t="shared" si="32"/>
        <v>2520950</v>
      </c>
    </row>
    <row r="94" spans="2:8" customFormat="1" ht="14.5" x14ac:dyDescent="0.35"/>
    <row r="95" spans="2:8" ht="14.5" x14ac:dyDescent="0.35">
      <c r="B95" s="162" t="s">
        <v>124</v>
      </c>
      <c r="C95" s="102"/>
      <c r="D95" s="102"/>
      <c r="E95" s="102"/>
      <c r="F95" s="102"/>
      <c r="G95" s="102"/>
      <c r="H95" s="103"/>
    </row>
    <row r="96" spans="2:8" ht="14.5" x14ac:dyDescent="0.35">
      <c r="B96" s="91" t="s">
        <v>219</v>
      </c>
      <c r="C96" s="102">
        <f>IFERROR(+C78/C$62,0)</f>
        <v>109</v>
      </c>
      <c r="D96" s="102">
        <f t="shared" ref="D96:H97" si="35">IFERROR(+D78/D$62,0)</f>
        <v>109.18731417244797</v>
      </c>
      <c r="E96" s="102">
        <f t="shared" si="35"/>
        <v>0</v>
      </c>
      <c r="F96" s="102">
        <f t="shared" si="35"/>
        <v>0</v>
      </c>
      <c r="G96" s="102">
        <f t="shared" si="35"/>
        <v>0</v>
      </c>
      <c r="H96" s="103">
        <f t="shared" si="35"/>
        <v>218.18815331010452</v>
      </c>
    </row>
    <row r="97" spans="2:14" ht="14.5" x14ac:dyDescent="0.35">
      <c r="B97" s="91" t="s">
        <v>220</v>
      </c>
      <c r="C97" s="102">
        <f>IFERROR(+C79/C$62,0)</f>
        <v>43.6</v>
      </c>
      <c r="D97" s="102">
        <f t="shared" si="35"/>
        <v>43.674925668979185</v>
      </c>
      <c r="E97" s="102">
        <f t="shared" si="35"/>
        <v>0</v>
      </c>
      <c r="F97" s="102">
        <f t="shared" si="35"/>
        <v>0</v>
      </c>
      <c r="G97" s="102">
        <f t="shared" si="35"/>
        <v>0</v>
      </c>
      <c r="H97" s="103">
        <f t="shared" si="35"/>
        <v>87.275261324041807</v>
      </c>
    </row>
    <row r="98" spans="2:14" ht="14.5" x14ac:dyDescent="0.35">
      <c r="B98" s="91" t="s">
        <v>221</v>
      </c>
      <c r="C98" s="102">
        <f>IFERROR(+C84/C$62,0)</f>
        <v>40.15</v>
      </c>
      <c r="D98" s="102">
        <f t="shared" ref="D98:H98" si="36">IFERROR(+D84/D$62,0)</f>
        <v>40.693260654112983</v>
      </c>
      <c r="E98" s="102">
        <f t="shared" si="36"/>
        <v>0</v>
      </c>
      <c r="F98" s="102">
        <f t="shared" si="36"/>
        <v>0</v>
      </c>
      <c r="G98" s="102">
        <f t="shared" si="36"/>
        <v>0</v>
      </c>
      <c r="H98" s="103">
        <f t="shared" si="36"/>
        <v>80.845694375311098</v>
      </c>
    </row>
    <row r="99" spans="2:14" ht="14.5" x14ac:dyDescent="0.35">
      <c r="B99" s="91" t="s">
        <v>222</v>
      </c>
      <c r="C99" s="174">
        <f>+Model!$D$13*C$4</f>
        <v>0.4</v>
      </c>
      <c r="D99" s="174">
        <f>+Model!$D$13*D$4</f>
        <v>0.4</v>
      </c>
      <c r="E99" s="174">
        <f>+Model!$D$13*E$4</f>
        <v>0</v>
      </c>
      <c r="F99" s="174">
        <f>+Model!$D$13*F$4</f>
        <v>0</v>
      </c>
      <c r="G99" s="174">
        <f>+Model!$D$13*G$4</f>
        <v>0</v>
      </c>
      <c r="H99" s="175">
        <f>+Model!$D$13*H$4</f>
        <v>0.8</v>
      </c>
    </row>
    <row r="100" spans="2:14" ht="14.5" x14ac:dyDescent="0.35">
      <c r="B100" s="91" t="s">
        <v>223</v>
      </c>
      <c r="C100" s="174">
        <f>IFERROR(+C84/C78,0)</f>
        <v>0.36834862385321099</v>
      </c>
      <c r="D100" s="174">
        <f t="shared" ref="D100:H100" si="37">IFERROR(+D84/D78,0)</f>
        <v>0.37269220295906325</v>
      </c>
      <c r="E100" s="174">
        <f t="shared" si="37"/>
        <v>0</v>
      </c>
      <c r="F100" s="174">
        <f t="shared" si="37"/>
        <v>0</v>
      </c>
      <c r="G100" s="174">
        <f t="shared" si="37"/>
        <v>0</v>
      </c>
      <c r="H100" s="175">
        <f t="shared" si="37"/>
        <v>0.37053200711776246</v>
      </c>
    </row>
    <row r="101" spans="2:14" ht="14.5" x14ac:dyDescent="0.35">
      <c r="C101" s="102"/>
      <c r="D101" s="102"/>
      <c r="E101" s="102"/>
      <c r="F101" s="102"/>
      <c r="G101" s="102"/>
      <c r="H101" s="103"/>
    </row>
    <row r="102" spans="2:14" ht="14.5" x14ac:dyDescent="0.35">
      <c r="B102" s="162" t="s">
        <v>250</v>
      </c>
      <c r="C102" s="102"/>
      <c r="D102" s="102"/>
      <c r="E102" s="102"/>
      <c r="F102" s="102"/>
      <c r="G102" s="102"/>
      <c r="H102" s="103"/>
    </row>
    <row r="103" spans="2:14" s="206" customFormat="1" ht="14.5" x14ac:dyDescent="0.35">
      <c r="B103" s="210" t="s">
        <v>115</v>
      </c>
      <c r="C103" s="207">
        <f>+C51</f>
        <v>100</v>
      </c>
      <c r="D103" s="207">
        <f t="shared" ref="D103:G103" si="38">+D51</f>
        <v>100</v>
      </c>
      <c r="E103" s="207">
        <f t="shared" si="38"/>
        <v>0</v>
      </c>
      <c r="F103" s="207">
        <f t="shared" si="38"/>
        <v>0</v>
      </c>
      <c r="G103" s="207">
        <f t="shared" si="38"/>
        <v>0</v>
      </c>
      <c r="H103" s="208"/>
      <c r="L103" s="209"/>
      <c r="M103" s="209"/>
      <c r="N103" s="209"/>
    </row>
    <row r="104" spans="2:14" s="206" customFormat="1" ht="14.5" x14ac:dyDescent="0.35">
      <c r="B104" s="211" t="s">
        <v>251</v>
      </c>
      <c r="C104" s="212">
        <f>+Model!$D$17</f>
        <v>0.3</v>
      </c>
      <c r="D104" s="212">
        <f>+C104</f>
        <v>0.3</v>
      </c>
      <c r="E104" s="212">
        <f t="shared" ref="E104:G104" si="39">+D104</f>
        <v>0.3</v>
      </c>
      <c r="F104" s="212">
        <f t="shared" si="39"/>
        <v>0.3</v>
      </c>
      <c r="G104" s="212">
        <f t="shared" si="39"/>
        <v>0.3</v>
      </c>
      <c r="H104" s="208"/>
      <c r="L104" s="209"/>
      <c r="M104" s="209"/>
      <c r="N104" s="209"/>
    </row>
    <row r="105" spans="2:14" ht="14.5" x14ac:dyDescent="0.35">
      <c r="B105" s="91" t="s">
        <v>224</v>
      </c>
      <c r="C105" s="102">
        <f>((C103)*(1+C104))*(C$4)</f>
        <v>130</v>
      </c>
      <c r="D105" s="102">
        <f t="shared" ref="D105:G105" si="40">((D103)*(1+D104))*(D$4)</f>
        <v>130</v>
      </c>
      <c r="E105" s="102">
        <f t="shared" si="40"/>
        <v>0</v>
      </c>
      <c r="F105" s="102">
        <f t="shared" si="40"/>
        <v>0</v>
      </c>
      <c r="G105" s="102">
        <f t="shared" si="40"/>
        <v>0</v>
      </c>
      <c r="H105" s="103">
        <f>IFERROR(+H87/H$63,0)</f>
        <v>260</v>
      </c>
      <c r="I105" s="104" t="str">
        <f>"total over "&amp;TEXT($H$4,"0")&amp;" year(s)"</f>
        <v>total over 2 year(s)</v>
      </c>
    </row>
    <row r="106" spans="2:14" ht="14.5" x14ac:dyDescent="0.35">
      <c r="B106" s="91" t="s">
        <v>225</v>
      </c>
      <c r="C106" s="102">
        <f>IFERROR(+C88/C63,0)</f>
        <v>52</v>
      </c>
      <c r="D106" s="102">
        <f>IFERROR(+D88/D63,0)</f>
        <v>52</v>
      </c>
      <c r="E106" s="102">
        <f>IFERROR(+E88/E63,0)</f>
        <v>0</v>
      </c>
      <c r="F106" s="102">
        <f>IFERROR(+F88/F63,0)</f>
        <v>0</v>
      </c>
      <c r="G106" s="102">
        <f>IFERROR(+G88/G63,0)</f>
        <v>0</v>
      </c>
      <c r="H106" s="103">
        <f>+H88/H63</f>
        <v>104</v>
      </c>
      <c r="I106" s="104" t="str">
        <f>"total over "&amp;TEXT($H$4,"0")&amp;" year(s)"</f>
        <v>total over 2 year(s)</v>
      </c>
    </row>
    <row r="107" spans="2:14" ht="14.5" x14ac:dyDescent="0.35">
      <c r="B107" s="91" t="s">
        <v>226</v>
      </c>
      <c r="C107" s="102">
        <f>IFERROR(+C93/C63,0)</f>
        <v>40.5</v>
      </c>
      <c r="D107" s="102">
        <f>IFERROR(+D93/D63,0)</f>
        <v>42.263754045307444</v>
      </c>
      <c r="E107" s="102">
        <f>IFERROR(+E93/E63,0)</f>
        <v>0</v>
      </c>
      <c r="F107" s="102">
        <f>IFERROR(+F93/F63,0)</f>
        <v>0</v>
      </c>
      <c r="G107" s="102">
        <f>IFERROR(+G93/G63,0)</f>
        <v>0</v>
      </c>
      <c r="H107" s="103">
        <f>+H93/H63</f>
        <v>82.789819376026273</v>
      </c>
      <c r="I107" s="104" t="str">
        <f>"total over "&amp;TEXT($H$4,"0")&amp;" year(s)"</f>
        <v>total over 2 year(s)</v>
      </c>
    </row>
    <row r="108" spans="2:14" ht="14.5" x14ac:dyDescent="0.35">
      <c r="B108" s="91" t="s">
        <v>222</v>
      </c>
      <c r="C108" s="174">
        <f>+Model!$D$13*C$4</f>
        <v>0.4</v>
      </c>
      <c r="D108" s="174">
        <f>+Model!$D$13*D$4</f>
        <v>0.4</v>
      </c>
      <c r="E108" s="174">
        <f>+Model!$D$13*E$4</f>
        <v>0</v>
      </c>
      <c r="F108" s="174">
        <f>+Model!$D$13*F$4</f>
        <v>0</v>
      </c>
      <c r="G108" s="174">
        <f>+Model!$D$13*G$4</f>
        <v>0</v>
      </c>
      <c r="H108" s="175">
        <f>+H88/H87</f>
        <v>0.4</v>
      </c>
    </row>
    <row r="109" spans="2:14" ht="14.5" x14ac:dyDescent="0.35">
      <c r="B109" s="91" t="s">
        <v>223</v>
      </c>
      <c r="C109" s="174">
        <f>IFERROR(+C93/C87,0)</f>
        <v>0.31153846153846154</v>
      </c>
      <c r="D109" s="174">
        <f>IFERROR(+D93/D87,0)</f>
        <v>0.32510580034851877</v>
      </c>
      <c r="E109" s="174">
        <f>IFERROR(+E93/E87,0)</f>
        <v>0</v>
      </c>
      <c r="F109" s="174">
        <f t="shared" ref="F109:H109" si="41">IFERROR(+F93/F87,0)</f>
        <v>0</v>
      </c>
      <c r="G109" s="174">
        <f t="shared" si="41"/>
        <v>0</v>
      </c>
      <c r="H109" s="175">
        <f t="shared" si="41"/>
        <v>0.31842238221548569</v>
      </c>
    </row>
    <row r="110" spans="2:14" ht="14.5" x14ac:dyDescent="0.35">
      <c r="B110" s="91" t="s">
        <v>252</v>
      </c>
      <c r="C110" s="187">
        <f>+C$87*C58/C$63</f>
        <v>6.5</v>
      </c>
      <c r="D110" s="187">
        <f>+D$87*D58/D$63</f>
        <v>6.5</v>
      </c>
      <c r="E110" s="187">
        <f t="shared" ref="E110:G111" si="42">IFERROR(+E$87*E58/E$63,0)</f>
        <v>0</v>
      </c>
      <c r="F110" s="102">
        <f t="shared" si="42"/>
        <v>0</v>
      </c>
      <c r="G110" s="102">
        <f t="shared" si="42"/>
        <v>0</v>
      </c>
      <c r="H110" s="103"/>
    </row>
    <row r="111" spans="2:14" ht="14.5" x14ac:dyDescent="0.35">
      <c r="B111" s="91" t="s">
        <v>253</v>
      </c>
      <c r="C111" s="187">
        <f>+C$87*C59/C$63</f>
        <v>6.5</v>
      </c>
      <c r="D111" s="187">
        <f>+D$87*D59/D$63</f>
        <v>6.5</v>
      </c>
      <c r="E111" s="187">
        <f t="shared" si="42"/>
        <v>0</v>
      </c>
      <c r="F111" s="102">
        <f t="shared" si="42"/>
        <v>0</v>
      </c>
      <c r="G111" s="102">
        <f t="shared" si="42"/>
        <v>0</v>
      </c>
      <c r="H111" s="103"/>
    </row>
    <row r="112" spans="2:14" ht="14.5" x14ac:dyDescent="0.35">
      <c r="C112" s="102"/>
      <c r="D112" s="102"/>
      <c r="E112" s="102"/>
      <c r="F112" s="102"/>
      <c r="G112" s="102"/>
      <c r="H112" s="103"/>
    </row>
    <row r="113" spans="2:11" ht="14.5" x14ac:dyDescent="0.35">
      <c r="B113" s="157" t="s">
        <v>254</v>
      </c>
      <c r="C113" s="176"/>
      <c r="D113" s="176"/>
      <c r="E113" s="176"/>
      <c r="F113" s="176"/>
      <c r="G113" s="176"/>
      <c r="H113" s="178"/>
      <c r="I113" s="157"/>
      <c r="J113" s="157"/>
      <c r="K113" s="157"/>
    </row>
    <row r="114" spans="2:11" ht="14.5" x14ac:dyDescent="0.35">
      <c r="B114" s="162"/>
      <c r="E114" s="102"/>
      <c r="F114" s="102"/>
      <c r="G114" s="102"/>
      <c r="H114" s="102"/>
      <c r="I114" s="102"/>
    </row>
    <row r="115" spans="2:11" ht="14.5" x14ac:dyDescent="0.35">
      <c r="B115" s="91" t="s">
        <v>126</v>
      </c>
      <c r="C115" s="102">
        <f t="shared" ref="C115:H116" si="43">+C87-C48</f>
        <v>900000</v>
      </c>
      <c r="D115" s="102">
        <f t="shared" si="43"/>
        <v>1017000</v>
      </c>
      <c r="E115" s="102">
        <f t="shared" si="43"/>
        <v>0</v>
      </c>
      <c r="F115" s="102">
        <f t="shared" si="43"/>
        <v>0</v>
      </c>
      <c r="G115" s="102">
        <f t="shared" si="43"/>
        <v>0</v>
      </c>
      <c r="H115" s="103">
        <f t="shared" si="43"/>
        <v>1917000</v>
      </c>
      <c r="I115" s="102"/>
    </row>
    <row r="116" spans="2:11" ht="14.5" x14ac:dyDescent="0.35">
      <c r="B116" s="91" t="s">
        <v>213</v>
      </c>
      <c r="C116" s="102">
        <f t="shared" si="43"/>
        <v>360000</v>
      </c>
      <c r="D116" s="102">
        <f t="shared" si="43"/>
        <v>406800</v>
      </c>
      <c r="E116" s="102">
        <f t="shared" si="43"/>
        <v>0</v>
      </c>
      <c r="F116" s="102">
        <f t="shared" si="43"/>
        <v>0</v>
      </c>
      <c r="G116" s="102">
        <f t="shared" si="43"/>
        <v>0</v>
      </c>
      <c r="H116" s="103">
        <f t="shared" si="43"/>
        <v>766800</v>
      </c>
      <c r="I116" s="102"/>
    </row>
    <row r="117" spans="2:11" ht="14.5" x14ac:dyDescent="0.35">
      <c r="B117" s="167" t="s">
        <v>131</v>
      </c>
      <c r="C117" s="102">
        <f t="shared" ref="C117:H117" si="44">+C89-C20</f>
        <v>195000</v>
      </c>
      <c r="D117" s="102">
        <f t="shared" si="44"/>
        <v>200850</v>
      </c>
      <c r="E117" s="102">
        <f t="shared" si="44"/>
        <v>0</v>
      </c>
      <c r="F117" s="102">
        <f t="shared" si="44"/>
        <v>0</v>
      </c>
      <c r="G117" s="102">
        <f t="shared" si="44"/>
        <v>0</v>
      </c>
      <c r="H117" s="103">
        <f t="shared" si="44"/>
        <v>395850</v>
      </c>
      <c r="I117" s="102"/>
    </row>
    <row r="118" spans="2:11" ht="14.5" x14ac:dyDescent="0.35">
      <c r="B118" s="167" t="s">
        <v>133</v>
      </c>
      <c r="C118" s="102">
        <f>+C90</f>
        <v>50000</v>
      </c>
      <c r="D118" s="102">
        <f t="shared" ref="D118:H118" si="45">+D90</f>
        <v>0</v>
      </c>
      <c r="E118" s="102">
        <f t="shared" si="45"/>
        <v>0</v>
      </c>
      <c r="F118" s="102">
        <f t="shared" si="45"/>
        <v>0</v>
      </c>
      <c r="G118" s="102">
        <f t="shared" si="45"/>
        <v>0</v>
      </c>
      <c r="H118" s="103">
        <f t="shared" si="45"/>
        <v>50000</v>
      </c>
      <c r="I118" s="102"/>
    </row>
    <row r="119" spans="2:11" ht="14.5" x14ac:dyDescent="0.35">
      <c r="B119" s="168" t="s">
        <v>135</v>
      </c>
      <c r="C119" s="102">
        <f t="shared" ref="C119:H119" si="46">+C91-C21</f>
        <v>100000</v>
      </c>
      <c r="D119" s="102">
        <f t="shared" si="46"/>
        <v>100000</v>
      </c>
      <c r="E119" s="102">
        <f t="shared" si="46"/>
        <v>0</v>
      </c>
      <c r="F119" s="102">
        <f t="shared" si="46"/>
        <v>0</v>
      </c>
      <c r="G119" s="102">
        <f t="shared" si="46"/>
        <v>0</v>
      </c>
      <c r="H119" s="103">
        <f t="shared" si="46"/>
        <v>200000</v>
      </c>
      <c r="I119" s="102"/>
    </row>
    <row r="120" spans="2:11" ht="14.5" x14ac:dyDescent="0.35">
      <c r="B120" s="183" t="s">
        <v>218</v>
      </c>
      <c r="C120" s="184">
        <f>SUM(C117:C119)</f>
        <v>345000</v>
      </c>
      <c r="D120" s="184">
        <f t="shared" ref="D120:H120" si="47">SUM(D117:D119)</f>
        <v>300850</v>
      </c>
      <c r="E120" s="184">
        <f t="shared" si="47"/>
        <v>0</v>
      </c>
      <c r="F120" s="184">
        <f t="shared" si="47"/>
        <v>0</v>
      </c>
      <c r="G120" s="184">
        <f t="shared" si="47"/>
        <v>0</v>
      </c>
      <c r="H120" s="185">
        <f t="shared" si="47"/>
        <v>645850</v>
      </c>
      <c r="I120" s="102"/>
    </row>
    <row r="121" spans="2:11" ht="14.5" x14ac:dyDescent="0.35">
      <c r="B121" s="186" t="s">
        <v>214</v>
      </c>
      <c r="C121" s="172">
        <f>+C116-C120</f>
        <v>15000</v>
      </c>
      <c r="D121" s="172">
        <f t="shared" ref="D121:H121" si="48">+D116-D120</f>
        <v>105950</v>
      </c>
      <c r="E121" s="172">
        <f t="shared" si="48"/>
        <v>0</v>
      </c>
      <c r="F121" s="172">
        <f t="shared" si="48"/>
        <v>0</v>
      </c>
      <c r="G121" s="172">
        <f t="shared" si="48"/>
        <v>0</v>
      </c>
      <c r="H121" s="173">
        <f t="shared" si="48"/>
        <v>120950</v>
      </c>
      <c r="I121" s="102"/>
    </row>
    <row r="122" spans="2:11" ht="14.5" x14ac:dyDescent="0.35">
      <c r="E122" s="102"/>
      <c r="F122" s="102"/>
      <c r="G122" s="102"/>
      <c r="H122" s="102"/>
      <c r="I122" s="102"/>
    </row>
    <row r="123" spans="2:11" ht="14.5" x14ac:dyDescent="0.35">
      <c r="B123" s="104" t="s">
        <v>114</v>
      </c>
      <c r="E123" s="102"/>
      <c r="F123" s="102"/>
      <c r="G123" s="102"/>
      <c r="H123" s="102"/>
      <c r="I123" s="102"/>
    </row>
    <row r="124" spans="2:11" ht="14.5" x14ac:dyDescent="0.35">
      <c r="B124" s="91" t="s">
        <v>126</v>
      </c>
      <c r="C124" s="163">
        <f t="shared" ref="C124:H125" si="49">IFERROR(+C115/C11,0)</f>
        <v>0.09</v>
      </c>
      <c r="D124" s="163">
        <f t="shared" si="49"/>
        <v>0.1017</v>
      </c>
      <c r="E124" s="163">
        <f t="shared" si="49"/>
        <v>0</v>
      </c>
      <c r="F124" s="163">
        <f t="shared" si="49"/>
        <v>0</v>
      </c>
      <c r="G124" s="163">
        <f t="shared" si="49"/>
        <v>0</v>
      </c>
      <c r="H124" s="188">
        <f t="shared" si="49"/>
        <v>9.5850000000000005E-2</v>
      </c>
      <c r="I124" s="102"/>
    </row>
    <row r="125" spans="2:11" ht="14.5" x14ac:dyDescent="0.35">
      <c r="B125" s="91" t="s">
        <v>213</v>
      </c>
      <c r="C125" s="163">
        <f t="shared" si="49"/>
        <v>0.09</v>
      </c>
      <c r="D125" s="163">
        <f t="shared" si="49"/>
        <v>0.1017</v>
      </c>
      <c r="E125" s="163">
        <f t="shared" si="49"/>
        <v>0</v>
      </c>
      <c r="F125" s="163">
        <f t="shared" si="49"/>
        <v>0</v>
      </c>
      <c r="G125" s="163">
        <f t="shared" si="49"/>
        <v>0</v>
      </c>
      <c r="H125" s="188">
        <f t="shared" si="49"/>
        <v>9.5850000000000005E-2</v>
      </c>
      <c r="I125" s="102"/>
    </row>
    <row r="126" spans="2:11" ht="14.5" x14ac:dyDescent="0.35">
      <c r="B126" s="167" t="s">
        <v>131</v>
      </c>
      <c r="C126" s="163">
        <f t="shared" ref="C126:H126" si="50">IFERROR(+C117/C20,0)</f>
        <v>0</v>
      </c>
      <c r="D126" s="163">
        <f t="shared" si="50"/>
        <v>0</v>
      </c>
      <c r="E126" s="163">
        <f t="shared" si="50"/>
        <v>0</v>
      </c>
      <c r="F126" s="163">
        <f t="shared" si="50"/>
        <v>0</v>
      </c>
      <c r="G126" s="163">
        <f t="shared" si="50"/>
        <v>0</v>
      </c>
      <c r="H126" s="188">
        <f t="shared" si="50"/>
        <v>0</v>
      </c>
      <c r="I126" s="102"/>
    </row>
    <row r="127" spans="2:11" ht="14.5" x14ac:dyDescent="0.35">
      <c r="B127" s="167" t="s">
        <v>133</v>
      </c>
      <c r="C127" s="163"/>
      <c r="D127" s="163"/>
      <c r="E127" s="163"/>
      <c r="F127" s="163"/>
      <c r="G127" s="163"/>
      <c r="H127" s="188"/>
      <c r="I127" s="102"/>
    </row>
    <row r="128" spans="2:11" ht="14.5" x14ac:dyDescent="0.35">
      <c r="B128" s="168" t="s">
        <v>135</v>
      </c>
      <c r="C128" s="163">
        <f t="shared" ref="C128:H129" si="51">IFERROR(+C119/C21,0)</f>
        <v>0</v>
      </c>
      <c r="D128" s="163">
        <f t="shared" si="51"/>
        <v>0</v>
      </c>
      <c r="E128" s="163">
        <f t="shared" si="51"/>
        <v>0</v>
      </c>
      <c r="F128" s="163">
        <f t="shared" si="51"/>
        <v>0</v>
      </c>
      <c r="G128" s="163">
        <f t="shared" si="51"/>
        <v>0</v>
      </c>
      <c r="H128" s="188">
        <f t="shared" si="51"/>
        <v>0</v>
      </c>
      <c r="I128" s="102"/>
    </row>
    <row r="129" spans="2:11" ht="14.5" x14ac:dyDescent="0.35">
      <c r="B129" s="183" t="s">
        <v>218</v>
      </c>
      <c r="C129" s="189">
        <f t="shared" si="51"/>
        <v>0</v>
      </c>
      <c r="D129" s="189">
        <f t="shared" si="51"/>
        <v>0</v>
      </c>
      <c r="E129" s="189">
        <f t="shared" si="51"/>
        <v>0</v>
      </c>
      <c r="F129" s="189">
        <f t="shared" si="51"/>
        <v>0</v>
      </c>
      <c r="G129" s="189">
        <f t="shared" si="51"/>
        <v>0</v>
      </c>
      <c r="H129" s="190">
        <f t="shared" si="51"/>
        <v>0</v>
      </c>
      <c r="I129" s="102"/>
    </row>
    <row r="130" spans="2:11" ht="14.5" x14ac:dyDescent="0.35">
      <c r="B130" s="186" t="s">
        <v>214</v>
      </c>
      <c r="C130" s="191">
        <f t="shared" ref="C130:H130" si="52">IFERROR(+C121/C13,0)</f>
        <v>3.7499999999999999E-3</v>
      </c>
      <c r="D130" s="191">
        <f t="shared" si="52"/>
        <v>2.6487500000000001E-2</v>
      </c>
      <c r="E130" s="191">
        <f t="shared" si="52"/>
        <v>0</v>
      </c>
      <c r="F130" s="191">
        <f t="shared" si="52"/>
        <v>0</v>
      </c>
      <c r="G130" s="191">
        <f t="shared" si="52"/>
        <v>0</v>
      </c>
      <c r="H130" s="192">
        <f t="shared" si="52"/>
        <v>1.511875E-2</v>
      </c>
      <c r="I130" s="102"/>
    </row>
    <row r="131" spans="2:11" ht="14.5" x14ac:dyDescent="0.35">
      <c r="E131" s="102"/>
      <c r="F131" s="102"/>
      <c r="G131" s="102"/>
      <c r="H131" s="102"/>
      <c r="I131" s="102"/>
    </row>
    <row r="132" spans="2:11" ht="14.5" x14ac:dyDescent="0.35">
      <c r="E132" s="102"/>
      <c r="F132" s="102"/>
      <c r="G132" s="102"/>
      <c r="H132" s="102"/>
      <c r="I132" s="102"/>
    </row>
    <row r="133" spans="2:11" ht="14.5" x14ac:dyDescent="0.35">
      <c r="B133" s="157" t="s">
        <v>255</v>
      </c>
      <c r="C133" s="157"/>
      <c r="D133" s="157"/>
      <c r="E133" s="176"/>
      <c r="F133" s="176"/>
      <c r="G133" s="176"/>
      <c r="H133" s="176"/>
      <c r="I133" s="176"/>
      <c r="J133" s="157"/>
      <c r="K133" s="157"/>
    </row>
    <row r="134" spans="2:11" ht="14.5" x14ac:dyDescent="0.35">
      <c r="C134" s="97">
        <v>1</v>
      </c>
      <c r="D134" s="97">
        <v>2</v>
      </c>
      <c r="E134" s="97">
        <v>3</v>
      </c>
      <c r="F134" s="97">
        <v>4</v>
      </c>
      <c r="G134" s="97">
        <v>5</v>
      </c>
      <c r="H134" s="98" t="s">
        <v>124</v>
      </c>
    </row>
    <row r="135" spans="2:11" ht="14.5" x14ac:dyDescent="0.35">
      <c r="B135" s="91" t="s">
        <v>142</v>
      </c>
      <c r="C135" s="102">
        <f>(+Model!D62)*(C$4)</f>
        <v>15000</v>
      </c>
      <c r="D135" s="102">
        <f>(+Model!E62)*(D$4)</f>
        <v>105950</v>
      </c>
      <c r="E135" s="102">
        <f>(+Model!F62)*(E$4)</f>
        <v>0</v>
      </c>
      <c r="F135" s="102">
        <f>(+Model!G62)*(F$4)</f>
        <v>0</v>
      </c>
      <c r="G135" s="102">
        <f>(+Model!H62)*(G$4)</f>
        <v>0</v>
      </c>
      <c r="H135" s="102"/>
    </row>
    <row r="136" spans="2:11" ht="14.5" x14ac:dyDescent="0.35">
      <c r="B136" s="91" t="s">
        <v>256</v>
      </c>
      <c r="C136" s="102">
        <f>(+C135)*(C$4)</f>
        <v>15000</v>
      </c>
      <c r="D136" s="102">
        <f>(+C136+D135)*(D$4)</f>
        <v>120950</v>
      </c>
      <c r="E136" s="102">
        <f>(+D136+E135)*(E$4)</f>
        <v>0</v>
      </c>
      <c r="F136" s="102">
        <f>(+E136+F135)*(F$4)</f>
        <v>0</v>
      </c>
      <c r="G136" s="102">
        <f>(+F136+G135)*(G$4)</f>
        <v>0</v>
      </c>
      <c r="H136" s="102"/>
    </row>
    <row r="137" spans="2:11" ht="14.5" x14ac:dyDescent="0.35">
      <c r="B137" s="91" t="s">
        <v>257</v>
      </c>
      <c r="C137" s="193">
        <f>IF(C4=0,0,(IF(C136&gt;=0,12*(C118/(C121+C118)),12)))</f>
        <v>9.2307692307692317</v>
      </c>
      <c r="D137" s="194">
        <f>IF(D4=0,0,IF(C136&gt;=0,0,IF(D136&gt;=0,-12*C136/D135,12)))</f>
        <v>0</v>
      </c>
      <c r="E137" s="194">
        <f>IF(E4=0,0,IF(D136&gt;=0,0,IF(E136&gt;=0,-12*D136/E135,12)))</f>
        <v>0</v>
      </c>
      <c r="F137" s="194">
        <f>IF(F4=0,0,IF(E136&gt;=0,0,IF(F136&gt;=0,-12*E136/F135,12)))</f>
        <v>0</v>
      </c>
      <c r="G137" s="194">
        <f>IF(G4=0,0,IF(F136&gt;=0,0,IF(G136&gt;=0,-12*F136/G135,12)))</f>
        <v>0</v>
      </c>
      <c r="H137" s="193">
        <f>SUM(C137:G137)</f>
        <v>9.2307692307692317</v>
      </c>
      <c r="I137" s="102"/>
    </row>
    <row r="138" spans="2:11" ht="14.5" x14ac:dyDescent="0.35">
      <c r="B138" s="96"/>
    </row>
    <row r="139" spans="2:11" ht="14.5" x14ac:dyDescent="0.35">
      <c r="B139" s="195" t="s">
        <v>258</v>
      </c>
      <c r="C139" s="196"/>
      <c r="D139" s="196"/>
      <c r="E139" s="196"/>
      <c r="F139" s="196"/>
      <c r="G139" s="196"/>
      <c r="H139" s="196"/>
      <c r="I139" s="196"/>
      <c r="J139" s="196"/>
      <c r="K139" s="197"/>
    </row>
    <row r="140" spans="2:11" ht="14.5" x14ac:dyDescent="0.35">
      <c r="B140" s="198"/>
      <c r="K140" s="199"/>
    </row>
    <row r="141" spans="2:11" ht="14.5" x14ac:dyDescent="0.35">
      <c r="B141" s="200" t="s">
        <v>103</v>
      </c>
      <c r="C141" s="201" t="s">
        <v>259</v>
      </c>
      <c r="D141" s="201"/>
      <c r="E141" s="201" t="s">
        <v>147</v>
      </c>
      <c r="F141" s="201" t="s">
        <v>260</v>
      </c>
      <c r="K141" s="199"/>
    </row>
    <row r="142" spans="2:11" ht="14.5" x14ac:dyDescent="0.35">
      <c r="B142" s="198" t="s">
        <v>261</v>
      </c>
      <c r="C142" s="202" t="s">
        <v>262</v>
      </c>
      <c r="E142" s="91" t="s">
        <v>263</v>
      </c>
      <c r="F142" s="91" t="s">
        <v>264</v>
      </c>
      <c r="K142" s="199"/>
    </row>
    <row r="143" spans="2:11" ht="14.5" x14ac:dyDescent="0.35">
      <c r="B143" s="198" t="s">
        <v>265</v>
      </c>
      <c r="C143" s="202" t="s">
        <v>266</v>
      </c>
      <c r="E143" s="91" t="s">
        <v>267</v>
      </c>
      <c r="F143" s="91" t="s">
        <v>268</v>
      </c>
      <c r="K143" s="199"/>
    </row>
    <row r="144" spans="2:11" ht="14.5" x14ac:dyDescent="0.35">
      <c r="B144" s="198" t="s">
        <v>269</v>
      </c>
      <c r="C144" s="91" t="s">
        <v>270</v>
      </c>
      <c r="E144" s="91" t="s">
        <v>271</v>
      </c>
      <c r="F144" s="91" t="s">
        <v>272</v>
      </c>
      <c r="K144" s="199"/>
    </row>
    <row r="145" spans="2:20" ht="14.5" x14ac:dyDescent="0.35">
      <c r="B145" s="198" t="s">
        <v>273</v>
      </c>
      <c r="C145" s="91" t="s">
        <v>274</v>
      </c>
      <c r="E145" s="91" t="s">
        <v>275</v>
      </c>
      <c r="F145" s="104" t="s">
        <v>276</v>
      </c>
      <c r="K145" s="199"/>
    </row>
    <row r="146" spans="2:20" ht="14.5" x14ac:dyDescent="0.35">
      <c r="B146" s="203"/>
      <c r="C146" s="204"/>
      <c r="D146" s="204"/>
      <c r="E146" s="204"/>
      <c r="F146" s="204"/>
      <c r="G146" s="204"/>
      <c r="H146" s="204"/>
      <c r="I146" s="204"/>
      <c r="J146" s="204"/>
      <c r="K146" s="205"/>
    </row>
    <row r="147" spans="2:20" ht="14.5" x14ac:dyDescent="0.35">
      <c r="B147" s="104"/>
    </row>
    <row r="148" spans="2:20" ht="14.5" x14ac:dyDescent="0.35"/>
    <row r="149" spans="2:20" ht="14.5" x14ac:dyDescent="0.35"/>
    <row r="156" spans="2:20" s="156" customFormat="1" ht="14.5" hidden="1" x14ac:dyDescent="0.35">
      <c r="B156" s="156" t="s">
        <v>0</v>
      </c>
      <c r="L156" s="148"/>
      <c r="M156" s="148"/>
      <c r="N156" s="148"/>
      <c r="O156"/>
      <c r="P156"/>
      <c r="Q156"/>
      <c r="R156"/>
      <c r="S156"/>
      <c r="T156"/>
    </row>
    <row r="157" spans="2:20" ht="14.5" x14ac:dyDescent="0.35"/>
    <row r="158" spans="2:20" ht="14.5" x14ac:dyDescent="0.35"/>
    <row r="159" spans="2:20" ht="14.5" x14ac:dyDescent="0.35">
      <c r="B159" s="21" t="s">
        <v>0</v>
      </c>
    </row>
    <row r="160" spans="2:20" ht="14.5" x14ac:dyDescent="0.35"/>
    <row r="161" ht="14.5" x14ac:dyDescent="0.35"/>
    <row r="162" ht="14.5" x14ac:dyDescent="0.35"/>
    <row r="163" ht="14.5" x14ac:dyDescent="0.35"/>
    <row r="164" ht="14.5" x14ac:dyDescent="0.35"/>
  </sheetData>
  <sheetProtection algorithmName="SHA-512" hashValue="7evjKx7m/+I9/BoniiBc6kHDfmjyvec5lILgLhJdUgDsK7jy6n5Pm597X3ziWSirILmAwUSPfGw0OsbTXDdvsA==" saltValue="PBkw6HarzmyXfc1cQGxKGg==" spinCount="100000" sheet="1" objects="1" scenarios="1" formatCells="0"/>
  <conditionalFormatting sqref="B13:I23">
    <cfRule type="expression" dxfId="3" priority="10">
      <formula>$A$15=0</formula>
    </cfRule>
  </conditionalFormatting>
  <conditionalFormatting sqref="B30:I41">
    <cfRule type="expression" dxfId="2" priority="3">
      <formula>$A$15=0</formula>
    </cfRule>
  </conditionalFormatting>
  <conditionalFormatting sqref="C3:G29 C30:H30 C31:G32 C33:H41 H26:H29 C42:G52 C53:H53 C54:G57 C58:H75 C76:G93 C95:G99 H96:H99 C100:H100 C101:G104 C105:H111 C112:G137">
    <cfRule type="expression" dxfId="1" priority="25">
      <formula>C$4=0</formula>
    </cfRule>
  </conditionalFormatting>
  <conditionalFormatting sqref="F110:G111">
    <cfRule type="expression" dxfId="0" priority="14">
      <formula>F$4=0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A4B82-A6FA-451F-BC24-7B41349A5303}">
  <sheetPr codeName="Sheet5">
    <tabColor rgb="FF22DBD1"/>
  </sheetPr>
  <dimension ref="A1:B6"/>
  <sheetViews>
    <sheetView tabSelected="1" workbookViewId="0">
      <selection activeCell="A4" sqref="A4"/>
    </sheetView>
  </sheetViews>
  <sheetFormatPr defaultColWidth="0" defaultRowHeight="14.5" x14ac:dyDescent="0.35"/>
  <cols>
    <col min="1" max="1" width="50.26953125" style="150" bestFit="1" customWidth="1"/>
    <col min="2" max="2" width="0" style="50" hidden="1" customWidth="1"/>
    <col min="3" max="16384" width="9.26953125" style="50" hidden="1"/>
  </cols>
  <sheetData>
    <row r="1" spans="1:1" x14ac:dyDescent="0.35">
      <c r="A1" s="50"/>
    </row>
    <row r="3" spans="1:1" x14ac:dyDescent="0.35">
      <c r="A3" s="217" t="s">
        <v>0</v>
      </c>
    </row>
    <row r="4" spans="1:1" x14ac:dyDescent="0.35">
      <c r="A4" s="218" t="s">
        <v>277</v>
      </c>
    </row>
    <row r="5" spans="1:1" x14ac:dyDescent="0.35">
      <c r="A5" s="218" t="s">
        <v>278</v>
      </c>
    </row>
    <row r="6" spans="1:1" x14ac:dyDescent="0.35">
      <c r="A6" s="218" t="s">
        <v>279</v>
      </c>
    </row>
  </sheetData>
  <sheetProtection algorithmName="SHA-512" hashValue="xHUg5SaR/KT7IvZCYNOenKTsqK3rrm5lvV2ADasqyCY3EFVKWNAd9bXWiTxr8a8pEQ5AldCktRnexMhRZCAN0w==" saltValue="jMuZUT1lznfBk2h/HIT6zA==" spinCount="100000" sheet="1" objects="1" scenarios="1" formatCells="0"/>
  <hyperlinks>
    <hyperlink ref="A5" r:id="rId1" xr:uid="{DCAA7E14-3F82-49A6-8C46-E1DEB694A104}"/>
    <hyperlink ref="A6" r:id="rId2" xr:uid="{A8CB31A3-051F-45AC-9742-D82166482590}"/>
    <hyperlink ref="A4" r:id="rId3" xr:uid="{C3B6104F-424C-43EC-A846-C74EF1F7A2A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C702D-B663-4186-BD64-E2D49177A7F5}">
  <sheetPr codeName="Sheet7">
    <tabColor rgb="FF22DBD1"/>
  </sheetPr>
  <dimension ref="A1:B6"/>
  <sheetViews>
    <sheetView workbookViewId="0">
      <selection activeCell="A13" sqref="A13"/>
    </sheetView>
  </sheetViews>
  <sheetFormatPr defaultColWidth="0" defaultRowHeight="14.5" x14ac:dyDescent="0.35"/>
  <cols>
    <col min="1" max="1" width="50.26953125" style="150" bestFit="1" customWidth="1"/>
    <col min="2" max="2" width="0" style="50" hidden="1" customWidth="1"/>
    <col min="3" max="16384" width="9.26953125" style="50" hidden="1"/>
  </cols>
  <sheetData>
    <row r="1" spans="1:1" x14ac:dyDescent="0.35">
      <c r="A1" s="50"/>
    </row>
    <row r="3" spans="1:1" x14ac:dyDescent="0.35">
      <c r="A3" s="149" t="s">
        <v>280</v>
      </c>
    </row>
    <row r="4" spans="1:1" x14ac:dyDescent="0.35">
      <c r="A4" s="150" t="s">
        <v>277</v>
      </c>
    </row>
    <row r="5" spans="1:1" x14ac:dyDescent="0.35">
      <c r="A5" s="151" t="s">
        <v>278</v>
      </c>
    </row>
    <row r="6" spans="1:1" x14ac:dyDescent="0.35">
      <c r="A6" s="151" t="s">
        <v>279</v>
      </c>
    </row>
  </sheetData>
  <sheetProtection algorithmName="SHA-512" hashValue="LOYT/C7KnVIGWYBZHVld8HIGkeS2mdxo12GvizZjhD2XeaoAeDK8K6yNpbrdJrI9QatWifkBNwWLf84vQDUG8g==" saltValue="Eg9mGzYxeBbwL1RU2D6p7Q==" spinCount="100000" sheet="1" objects="1" scenarios="1" formatCells="0"/>
  <hyperlinks>
    <hyperlink ref="A5" r:id="rId1" xr:uid="{185C3CEB-659C-4E05-B1AD-FD8D4558AC5A}"/>
    <hyperlink ref="A6" r:id="rId2" xr:uid="{29EF1E44-42A9-4E80-A576-8C2E90446B4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vt:lpstr>
      <vt:lpstr>Instructions</vt:lpstr>
      <vt:lpstr>Model</vt:lpstr>
      <vt:lpstr>Appendix - Calculations</vt:lpstr>
      <vt:lpstr>Kognitiv</vt:lpstr>
    </vt:vector>
  </TitlesOfParts>
  <Manager/>
  <Company>Kognitiv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Berner</dc:creator>
  <cp:keywords/>
  <dc:description/>
  <cp:lastModifiedBy>Maria Bersteneva</cp:lastModifiedBy>
  <cp:revision/>
  <dcterms:created xsi:type="dcterms:W3CDTF">2024-10-30T18:46:12Z</dcterms:created>
  <dcterms:modified xsi:type="dcterms:W3CDTF">2025-01-21T13:56:27Z</dcterms:modified>
  <cp:category/>
  <cp:contentStatus/>
</cp:coreProperties>
</file>